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105" windowWidth="7545" windowHeight="4980" tabRatio="705" activeTab="3"/>
  </bookViews>
  <sheets>
    <sheet name="Phase advances" sheetId="21" r:id="rId1"/>
    <sheet name="Wire design" sheetId="23" r:id="rId2"/>
    <sheet name="IP positions" sheetId="24" r:id="rId3"/>
    <sheet name="Summary of LR measurements" sheetId="31" r:id="rId4"/>
  </sheets>
  <calcPr calcId="124519"/>
</workbook>
</file>

<file path=xl/calcChain.xml><?xml version="1.0" encoding="utf-8"?>
<calcChain xmlns="http://schemas.openxmlformats.org/spreadsheetml/2006/main">
  <c r="AF29" i="31"/>
  <c r="AE29"/>
  <c r="AD29"/>
  <c r="AF25"/>
  <c r="AE25"/>
  <c r="AD25"/>
  <c r="AF24"/>
  <c r="AE24"/>
  <c r="AD24"/>
  <c r="AF21"/>
  <c r="AE21"/>
  <c r="AD21"/>
  <c r="AF20"/>
  <c r="AF13"/>
  <c r="AE20"/>
  <c r="AD20"/>
  <c r="AF23"/>
  <c r="AE23"/>
  <c r="AD23"/>
  <c r="AF22"/>
  <c r="AE22"/>
  <c r="AD22"/>
  <c r="AF19"/>
  <c r="AE19"/>
  <c r="AD19"/>
  <c r="AF18"/>
  <c r="AE18"/>
  <c r="AD18"/>
  <c r="AF17"/>
  <c r="AE17"/>
  <c r="AD17"/>
  <c r="AF16"/>
  <c r="AE16"/>
  <c r="AD16"/>
  <c r="AF15"/>
  <c r="AE15"/>
  <c r="AD15"/>
  <c r="AE13"/>
  <c r="AD13"/>
  <c r="AF14"/>
  <c r="AE14"/>
  <c r="AD14"/>
  <c r="AD9"/>
  <c r="AF9"/>
  <c r="AE9"/>
  <c r="I30" l="1"/>
  <c r="H30"/>
  <c r="K25" l="1"/>
  <c r="K26" s="1"/>
  <c r="K27" s="1"/>
  <c r="K28" s="1"/>
  <c r="J25"/>
  <c r="J26" s="1"/>
  <c r="J27" s="1"/>
  <c r="J28" s="1"/>
  <c r="I23"/>
  <c r="H23"/>
  <c r="K21"/>
  <c r="J21"/>
  <c r="I19"/>
  <c r="H19"/>
  <c r="M14" l="1"/>
  <c r="M13"/>
  <c r="M12"/>
  <c r="M11"/>
  <c r="M10"/>
  <c r="M9"/>
  <c r="M8"/>
  <c r="M7"/>
  <c r="M6"/>
  <c r="M24"/>
  <c r="M22"/>
  <c r="M20"/>
  <c r="M18"/>
  <c r="M29"/>
  <c r="M25"/>
  <c r="M23"/>
  <c r="M21"/>
  <c r="M19"/>
  <c r="M17"/>
  <c r="M16"/>
  <c r="F7"/>
  <c r="F8" s="1"/>
  <c r="F9" s="1"/>
  <c r="C23" i="23"/>
  <c r="Q9" i="21"/>
  <c r="C10"/>
  <c r="H10"/>
  <c r="I10"/>
  <c r="J10"/>
  <c r="K10"/>
  <c r="L10"/>
  <c r="M10"/>
  <c r="C11"/>
  <c r="H11"/>
  <c r="I11"/>
  <c r="J11"/>
  <c r="M11"/>
  <c r="K11"/>
  <c r="L11"/>
  <c r="C12"/>
  <c r="H12"/>
  <c r="I12"/>
  <c r="J12"/>
  <c r="K12"/>
  <c r="L12"/>
  <c r="M12"/>
  <c r="C13"/>
  <c r="H13"/>
  <c r="I13"/>
  <c r="J13"/>
  <c r="M13"/>
  <c r="K13"/>
  <c r="L13"/>
  <c r="C14"/>
  <c r="H14"/>
  <c r="I14"/>
  <c r="J14"/>
  <c r="K14"/>
  <c r="M14"/>
  <c r="L14"/>
  <c r="C15"/>
  <c r="H15"/>
  <c r="I15"/>
  <c r="J15"/>
  <c r="M15"/>
  <c r="K15"/>
  <c r="L15"/>
  <c r="C17"/>
  <c r="H17"/>
  <c r="I17"/>
  <c r="J17"/>
  <c r="K17"/>
  <c r="M17"/>
  <c r="L17"/>
  <c r="C18"/>
  <c r="H18"/>
  <c r="I18"/>
  <c r="J18"/>
  <c r="M18"/>
  <c r="K18"/>
  <c r="L18"/>
  <c r="C19"/>
  <c r="H19"/>
  <c r="I19"/>
  <c r="J19"/>
  <c r="K19"/>
  <c r="L19"/>
  <c r="M19"/>
  <c r="C20"/>
  <c r="H20"/>
  <c r="I20"/>
  <c r="J20"/>
  <c r="M20"/>
  <c r="K20"/>
  <c r="L20"/>
  <c r="C21"/>
  <c r="H21"/>
  <c r="I21"/>
  <c r="J21"/>
  <c r="K21"/>
  <c r="M21"/>
  <c r="L21"/>
  <c r="C22"/>
  <c r="H22"/>
  <c r="I22"/>
  <c r="J22"/>
  <c r="M22"/>
  <c r="K22"/>
  <c r="L22"/>
  <c r="D112"/>
  <c r="E112"/>
  <c r="D113"/>
  <c r="E113"/>
  <c r="E115"/>
  <c r="E116"/>
  <c r="C117"/>
  <c r="C118"/>
  <c r="D118"/>
  <c r="C119"/>
  <c r="C120"/>
  <c r="D120"/>
  <c r="D121"/>
  <c r="E121"/>
  <c r="C122"/>
  <c r="C123"/>
  <c r="D123"/>
  <c r="C13" i="23"/>
  <c r="C14"/>
  <c r="C15"/>
  <c r="D16"/>
  <c r="E16"/>
  <c r="F16"/>
  <c r="H16"/>
  <c r="J16"/>
  <c r="K16"/>
  <c r="G17"/>
  <c r="L17"/>
  <c r="H17"/>
  <c r="J17"/>
  <c r="K17"/>
  <c r="G18"/>
  <c r="L18"/>
  <c r="H18"/>
  <c r="I18"/>
  <c r="J18"/>
  <c r="K18"/>
  <c r="G19"/>
  <c r="I19"/>
  <c r="H19"/>
  <c r="C22"/>
  <c r="C24"/>
  <c r="D25"/>
  <c r="E25"/>
  <c r="F25"/>
  <c r="H25"/>
  <c r="C65"/>
  <c r="G25"/>
  <c r="L25"/>
  <c r="L28"/>
  <c r="J25"/>
  <c r="K25"/>
  <c r="G26"/>
  <c r="L26"/>
  <c r="H26"/>
  <c r="J26"/>
  <c r="K26"/>
  <c r="G27"/>
  <c r="L27"/>
  <c r="H27"/>
  <c r="J27"/>
  <c r="K27"/>
  <c r="G28"/>
  <c r="I28"/>
  <c r="H28"/>
  <c r="C31"/>
  <c r="C32"/>
  <c r="C33"/>
  <c r="E34"/>
  <c r="F34"/>
  <c r="G34"/>
  <c r="H34"/>
  <c r="I34"/>
  <c r="J34"/>
  <c r="K34"/>
  <c r="L34"/>
  <c r="G35"/>
  <c r="H35"/>
  <c r="I35"/>
  <c r="L35"/>
  <c r="K35"/>
  <c r="C42"/>
  <c r="C56"/>
  <c r="C57"/>
  <c r="C58"/>
  <c r="C59"/>
  <c r="C60"/>
  <c r="C61"/>
  <c r="C62"/>
  <c r="C63"/>
  <c r="C64"/>
  <c r="C66"/>
  <c r="C67"/>
  <c r="J28"/>
  <c r="K28"/>
  <c r="E118" i="21"/>
  <c r="E123"/>
  <c r="E117"/>
  <c r="E122"/>
  <c r="I27" i="23"/>
  <c r="I25"/>
  <c r="J35"/>
  <c r="I26"/>
  <c r="I17"/>
  <c r="G16"/>
  <c r="D117" i="21"/>
  <c r="D119"/>
  <c r="D122"/>
  <c r="E120"/>
  <c r="L16" i="23"/>
  <c r="L19"/>
  <c r="I16"/>
  <c r="E119" i="21"/>
  <c r="J19" i="23"/>
  <c r="K19"/>
</calcChain>
</file>

<file path=xl/comments1.xml><?xml version="1.0" encoding="utf-8"?>
<comments xmlns="http://schemas.openxmlformats.org/spreadsheetml/2006/main">
  <authors>
    <author>wfischer</author>
  </authors>
  <commentList>
    <comment ref="B11" authorId="0">
      <text>
        <r>
          <rPr>
            <sz val="8"/>
            <color indexed="81"/>
            <rFont val="Tahoma"/>
            <family val="2"/>
          </rPr>
          <t>taken at IP12 in Cu8 store lattice, and hor and ver values exchanged</t>
        </r>
      </text>
    </comment>
    <comment ref="B12" authorId="0">
      <text>
        <r>
          <rPr>
            <sz val="8"/>
            <color indexed="81"/>
            <rFont val="Tahoma"/>
            <family val="2"/>
          </rPr>
          <t>taken at IP10 in Cu8 store lattice</t>
        </r>
      </text>
    </comment>
    <comment ref="B18" authorId="0">
      <text>
        <r>
          <rPr>
            <sz val="8"/>
            <color indexed="81"/>
            <rFont val="Tahoma"/>
            <family val="2"/>
          </rPr>
          <t>taken at IP12 in Cu8 store lattice, and hor and ver values exchanged</t>
        </r>
      </text>
    </comment>
    <comment ref="B19" authorId="0">
      <text>
        <r>
          <rPr>
            <sz val="8"/>
            <color indexed="81"/>
            <rFont val="Tahoma"/>
            <family val="2"/>
          </rPr>
          <t>taken at IP10 in Cu8 store lattice</t>
        </r>
      </text>
    </comment>
  </commentList>
</comments>
</file>

<file path=xl/comments2.xml><?xml version="1.0" encoding="utf-8"?>
<comments xmlns="http://schemas.openxmlformats.org/spreadsheetml/2006/main">
  <authors>
    <author>wfischer</author>
  </authors>
  <commentList>
    <comment ref="J9" authorId="0">
      <text>
        <r>
          <rPr>
            <sz val="8"/>
            <color indexed="81"/>
            <rFont val="Tahoma"/>
            <family val="2"/>
          </rPr>
          <t>beam separation,
separation is only in one plane (horizontal, vertical, or skew)</t>
        </r>
      </text>
    </comment>
    <comment ref="K9" authorId="0">
      <text>
        <r>
          <rPr>
            <sz val="8"/>
            <color indexed="81"/>
            <rFont val="Tahoma"/>
            <family val="2"/>
          </rPr>
          <t>beam separation,
separation is only in one plane (horizontal, vertical, or skew)</t>
        </r>
      </text>
    </comment>
    <comment ref="L9" authorId="0">
      <text>
        <r>
          <rPr>
            <sz val="8"/>
            <color indexed="81"/>
            <rFont val="Tahoma"/>
            <family val="2"/>
          </rPr>
          <t>beam separation,
separation is only in one plane (horizontal, vertical, or skew)</t>
        </r>
      </text>
    </comment>
    <comment ref="L16" authorId="0">
      <text>
        <r>
          <rPr>
            <sz val="8"/>
            <color indexed="81"/>
            <rFont val="Tahoma"/>
            <family val="2"/>
          </rPr>
          <t xml:space="preserve">This is the same as the crossing angle in </t>
        </r>
        <r>
          <rPr>
            <sz val="8"/>
            <color indexed="81"/>
            <rFont val="Symbol"/>
            <family val="1"/>
            <charset val="2"/>
          </rPr>
          <t>s</t>
        </r>
        <r>
          <rPr>
            <sz val="8"/>
            <color indexed="81"/>
            <rFont val="Tahoma"/>
            <family val="2"/>
          </rPr>
          <t xml:space="preserve">'* for 
s &gt;&gt; </t>
        </r>
        <r>
          <rPr>
            <sz val="8"/>
            <color indexed="81"/>
            <rFont val="Symbol"/>
            <family val="1"/>
            <charset val="2"/>
          </rPr>
          <t>b</t>
        </r>
        <r>
          <rPr>
            <sz val="8"/>
            <color indexed="81"/>
            <rFont val="Tahoma"/>
            <family val="2"/>
          </rPr>
          <t>* (without any quadrupoles)</t>
        </r>
      </text>
    </comment>
    <comment ref="L25" authorId="0">
      <text>
        <r>
          <rPr>
            <sz val="8"/>
            <color indexed="81"/>
            <rFont val="Tahoma"/>
            <family val="2"/>
          </rPr>
          <t xml:space="preserve">This is the same as the crossing angle in </t>
        </r>
        <r>
          <rPr>
            <sz val="8"/>
            <color indexed="81"/>
            <rFont val="Symbol"/>
            <family val="1"/>
            <charset val="2"/>
          </rPr>
          <t>s</t>
        </r>
        <r>
          <rPr>
            <sz val="8"/>
            <color indexed="81"/>
            <rFont val="Tahoma"/>
            <family val="2"/>
          </rPr>
          <t xml:space="preserve">'* for 
s &gt;&gt; </t>
        </r>
        <r>
          <rPr>
            <sz val="8"/>
            <color indexed="81"/>
            <rFont val="Symbol"/>
            <family val="1"/>
            <charset val="2"/>
          </rPr>
          <t>b</t>
        </r>
        <r>
          <rPr>
            <sz val="8"/>
            <color indexed="81"/>
            <rFont val="Tahoma"/>
            <family val="2"/>
          </rPr>
          <t>* (without any quadrupoles)</t>
        </r>
      </text>
    </comment>
    <comment ref="H27" authorId="0">
      <text>
        <r>
          <rPr>
            <sz val="8"/>
            <color indexed="81"/>
            <rFont val="Tahoma"/>
            <family val="2"/>
          </rPr>
          <t>This should give 10sigma aperture, when aperture is first limited by the 12cm radius warm beam pipe between Q3 and Q4.</t>
        </r>
      </text>
    </comment>
    <comment ref="L34" authorId="0">
      <text>
        <r>
          <rPr>
            <sz val="8"/>
            <color indexed="81"/>
            <rFont val="Tahoma"/>
            <family val="2"/>
          </rPr>
          <t xml:space="preserve">This is the same as the crossing angle in </t>
        </r>
        <r>
          <rPr>
            <sz val="8"/>
            <color indexed="81"/>
            <rFont val="Symbol"/>
            <family val="1"/>
            <charset val="2"/>
          </rPr>
          <t>s</t>
        </r>
        <r>
          <rPr>
            <sz val="8"/>
            <color indexed="81"/>
            <rFont val="Tahoma"/>
            <family val="2"/>
          </rPr>
          <t xml:space="preserve">'* for 
s &gt;&gt; </t>
        </r>
        <r>
          <rPr>
            <sz val="8"/>
            <color indexed="81"/>
            <rFont val="Symbol"/>
            <family val="1"/>
            <charset val="2"/>
          </rPr>
          <t>b</t>
        </r>
        <r>
          <rPr>
            <sz val="8"/>
            <color indexed="81"/>
            <rFont val="Tahoma"/>
            <family val="2"/>
          </rPr>
          <t>* (without any quadrupoles)</t>
        </r>
      </text>
    </comment>
  </commentList>
</comments>
</file>

<file path=xl/comments3.xml><?xml version="1.0" encoding="utf-8"?>
<comments xmlns="http://schemas.openxmlformats.org/spreadsheetml/2006/main">
  <authors>
    <author>Fischer, Wolfram</author>
  </authors>
  <commentList>
    <comment ref="M5" authorId="0">
      <text>
        <r>
          <rPr>
            <sz val="9"/>
            <color indexed="81"/>
            <rFont val="Times New Roman"/>
            <family val="1"/>
          </rPr>
          <t>If LR is between 2 beams, this is the strength of the beam that is moved. The beam that is not moved is the better test beam.
Otherwise it is the BBLR 
strength.</t>
        </r>
      </text>
    </comment>
    <comment ref="M6" authorId="0">
      <text>
        <r>
          <rPr>
            <sz val="9"/>
            <color indexed="81"/>
            <rFont val="Times New Roman"/>
            <family val="1"/>
          </rPr>
          <t>average over distance scan</t>
        </r>
      </text>
    </comment>
    <comment ref="M7" authorId="0">
      <text>
        <r>
          <rPr>
            <sz val="9"/>
            <color indexed="81"/>
            <rFont val="Times New Roman"/>
            <family val="1"/>
          </rPr>
          <t>average over distance scan</t>
        </r>
      </text>
    </comment>
    <comment ref="M8" authorId="0">
      <text>
        <r>
          <rPr>
            <sz val="9"/>
            <color indexed="81"/>
            <rFont val="Times New Roman"/>
            <family val="1"/>
          </rPr>
          <t>average over distance scan</t>
        </r>
      </text>
    </comment>
    <comment ref="M9" authorId="0">
      <text>
        <r>
          <rPr>
            <sz val="9"/>
            <color indexed="81"/>
            <rFont val="Times New Roman"/>
            <family val="1"/>
          </rPr>
          <t>average over distance scan</t>
        </r>
      </text>
    </comment>
    <comment ref="AB9" authorId="0">
      <text>
        <r>
          <rPr>
            <sz val="9"/>
            <color indexed="81"/>
            <rFont val="Times New Roman"/>
            <family val="1"/>
          </rPr>
          <t>background beam lifetime only 1.5h.</t>
        </r>
      </text>
    </comment>
    <comment ref="M10" authorId="0">
      <text>
        <r>
          <rPr>
            <sz val="9"/>
            <color indexed="81"/>
            <rFont val="Times New Roman"/>
            <family val="1"/>
          </rPr>
          <t>average over distance scan</t>
        </r>
      </text>
    </comment>
    <comment ref="M11" authorId="0">
      <text>
        <r>
          <rPr>
            <sz val="9"/>
            <color indexed="81"/>
            <rFont val="Times New Roman"/>
            <family val="1"/>
          </rPr>
          <t>average over distance scan</t>
        </r>
      </text>
    </comment>
    <comment ref="M12" authorId="0">
      <text>
        <r>
          <rPr>
            <sz val="9"/>
            <color indexed="81"/>
            <rFont val="Times New Roman"/>
            <family val="1"/>
          </rPr>
          <t>average over distance scan</t>
        </r>
      </text>
    </comment>
    <comment ref="M13" authorId="0">
      <text>
        <r>
          <rPr>
            <sz val="9"/>
            <color indexed="81"/>
            <rFont val="Times New Roman"/>
            <family val="1"/>
          </rPr>
          <t>average over distance scan</t>
        </r>
      </text>
    </comment>
    <comment ref="M14" authorId="0">
      <text>
        <r>
          <rPr>
            <sz val="9"/>
            <color indexed="81"/>
            <rFont val="Times New Roman"/>
            <family val="1"/>
          </rPr>
          <t>average over distance scan</t>
        </r>
      </text>
    </comment>
  </commentList>
</comments>
</file>

<file path=xl/sharedStrings.xml><?xml version="1.0" encoding="utf-8"?>
<sst xmlns="http://schemas.openxmlformats.org/spreadsheetml/2006/main" count="435" uniqueCount="208">
  <si>
    <t>Yellow</t>
  </si>
  <si>
    <t>Blue</t>
  </si>
  <si>
    <t>vertical</t>
  </si>
  <si>
    <t>[mm]</t>
  </si>
  <si>
    <t>[mm.mrad]</t>
  </si>
  <si>
    <t>[m]</t>
  </si>
  <si>
    <t>Wolfram Fischer, BNL, C-AD, 5-Jan-2005</t>
  </si>
  <si>
    <t>Phase advances for long-range beam-beam interactions in RHIC</t>
  </si>
  <si>
    <t>Blue beam (traveling clockwise)</t>
  </si>
  <si>
    <t>DX  (out)</t>
  </si>
  <si>
    <t>IP6</t>
  </si>
  <si>
    <t>DX (in)</t>
  </si>
  <si>
    <t>Q3 (out)</t>
  </si>
  <si>
    <t>Q4 (in)</t>
  </si>
  <si>
    <t>absolute</t>
  </si>
  <si>
    <t>relative to IP</t>
  </si>
  <si>
    <t>[deg]</t>
  </si>
  <si>
    <t>Horizontal</t>
  </si>
  <si>
    <t>injection</t>
  </si>
  <si>
    <t>IP8</t>
  </si>
  <si>
    <t>store</t>
  </si>
  <si>
    <t>IP10</t>
  </si>
  <si>
    <t>IP12</t>
  </si>
  <si>
    <t>IP2</t>
  </si>
  <si>
    <t>IP4</t>
  </si>
  <si>
    <t>Vertical</t>
  </si>
  <si>
    <r>
      <t>b</t>
    </r>
    <r>
      <rPr>
        <sz val="10"/>
        <rFont val="Times"/>
        <family val="1"/>
      </rPr>
      <t>*</t>
    </r>
  </si>
  <si>
    <r>
      <t>m</t>
    </r>
    <r>
      <rPr>
        <vertAlign val="subscript"/>
        <sz val="10"/>
        <rFont val="Times"/>
        <family val="1"/>
      </rPr>
      <t>x</t>
    </r>
  </si>
  <si>
    <r>
      <t>m</t>
    </r>
    <r>
      <rPr>
        <vertAlign val="subscript"/>
        <sz val="10"/>
        <rFont val="Times"/>
        <family val="1"/>
      </rPr>
      <t>y</t>
    </r>
  </si>
  <si>
    <r>
      <t>[rad/2</t>
    </r>
    <r>
      <rPr>
        <sz val="10"/>
        <rFont val="Symbol"/>
        <family val="1"/>
        <charset val="2"/>
      </rPr>
      <t>p</t>
    </r>
    <r>
      <rPr>
        <sz val="10"/>
        <rFont val="Times"/>
        <family val="1"/>
      </rPr>
      <t>]</t>
    </r>
  </si>
  <si>
    <r>
      <t xml:space="preserve">(1) For </t>
    </r>
    <r>
      <rPr>
        <b/>
        <sz val="10"/>
        <rFont val="Times"/>
        <family val="1"/>
      </rPr>
      <t>Blue</t>
    </r>
    <r>
      <rPr>
        <sz val="10"/>
        <rFont val="Times"/>
        <family val="1"/>
      </rPr>
      <t xml:space="preserve"> (beam clockwise) going through </t>
    </r>
    <r>
      <rPr>
        <b/>
        <sz val="10"/>
        <rFont val="Times"/>
        <family val="1"/>
      </rPr>
      <t xml:space="preserve">IP2 or IP10 </t>
    </r>
    <r>
      <rPr>
        <sz val="10"/>
        <rFont val="Times"/>
        <family val="1"/>
      </rPr>
      <t>the phase ad</t>
    </r>
    <r>
      <rPr>
        <sz val="10"/>
        <rFont val="Times"/>
        <family val="1"/>
      </rPr>
      <t>vances are the same as for IP6.</t>
    </r>
  </si>
  <si>
    <r>
      <t xml:space="preserve">(2) For </t>
    </r>
    <r>
      <rPr>
        <b/>
        <sz val="10"/>
        <rFont val="Times"/>
        <family val="1"/>
      </rPr>
      <t>Blue</t>
    </r>
    <r>
      <rPr>
        <sz val="10"/>
        <rFont val="Times"/>
        <family val="1"/>
      </rPr>
      <t xml:space="preserve"> (beam clockwise) going through </t>
    </r>
    <r>
      <rPr>
        <b/>
        <sz val="10"/>
        <rFont val="Times"/>
        <family val="1"/>
      </rPr>
      <t>IP4,8,10</t>
    </r>
    <r>
      <rPr>
        <sz val="10"/>
        <rFont val="Times"/>
        <family val="1"/>
      </rPr>
      <t xml:space="preserve"> exchange horizontal and vertical phase advances from IP6 (due to anti-symmetric IR optics).</t>
    </r>
  </si>
  <si>
    <r>
      <t xml:space="preserve">(3) For </t>
    </r>
    <r>
      <rPr>
        <b/>
        <sz val="10"/>
        <rFont val="Times"/>
        <family val="1"/>
      </rPr>
      <t>Yellow</t>
    </r>
    <r>
      <rPr>
        <sz val="10"/>
        <rFont val="Times"/>
        <family val="1"/>
      </rPr>
      <t xml:space="preserve"> (beam counter clockwise) going through </t>
    </r>
    <r>
      <rPr>
        <b/>
        <sz val="10"/>
        <rFont val="Times"/>
        <family val="1"/>
      </rPr>
      <t>any IP</t>
    </r>
    <r>
      <rPr>
        <sz val="10"/>
        <rFont val="Times"/>
        <family val="1"/>
      </rPr>
      <t xml:space="preserve"> phase advances in the beam direction are the same as for Blue going through the same IP.</t>
    </r>
  </si>
  <si>
    <t xml:space="preserve">V. Ptitsyn </t>
  </si>
  <si>
    <t>See elog</t>
  </si>
  <si>
    <t>Normalized emittance</t>
  </si>
  <si>
    <r>
      <t xml:space="preserve">Relativistic </t>
    </r>
    <r>
      <rPr>
        <sz val="10"/>
        <rFont val="Symbol"/>
        <family val="1"/>
        <charset val="2"/>
      </rPr>
      <t>g</t>
    </r>
  </si>
  <si>
    <r>
      <t>b</t>
    </r>
    <r>
      <rPr>
        <vertAlign val="subscript"/>
        <sz val="10"/>
        <rFont val="Times"/>
        <family val="1"/>
      </rPr>
      <t>x</t>
    </r>
    <r>
      <rPr>
        <sz val="10"/>
        <rFont val="Times"/>
        <family val="1"/>
      </rPr>
      <t xml:space="preserve"> (incoming)</t>
    </r>
  </si>
  <si>
    <r>
      <t>b</t>
    </r>
    <r>
      <rPr>
        <vertAlign val="subscript"/>
        <sz val="10"/>
        <rFont val="Times"/>
        <family val="1"/>
      </rPr>
      <t>y</t>
    </r>
    <r>
      <rPr>
        <sz val="10"/>
        <rFont val="Times"/>
        <family val="1"/>
      </rPr>
      <t xml:space="preserve"> (incoming)</t>
    </r>
  </si>
  <si>
    <r>
      <t xml:space="preserve"> =</t>
    </r>
    <r>
      <rPr>
        <sz val="10"/>
        <rFont val="Symbol"/>
        <family val="1"/>
        <charset val="2"/>
      </rPr>
      <t xml:space="preserve"> b</t>
    </r>
    <r>
      <rPr>
        <vertAlign val="subscript"/>
        <sz val="10"/>
        <rFont val="Times"/>
        <family val="1"/>
      </rPr>
      <t>y</t>
    </r>
    <r>
      <rPr>
        <sz val="10"/>
        <rFont val="Times"/>
        <family val="1"/>
      </rPr>
      <t xml:space="preserve"> (outgoing)</t>
    </r>
  </si>
  <si>
    <r>
      <t xml:space="preserve"> =</t>
    </r>
    <r>
      <rPr>
        <sz val="10"/>
        <rFont val="Symbol"/>
        <family val="1"/>
        <charset val="2"/>
      </rPr>
      <t xml:space="preserve"> b</t>
    </r>
    <r>
      <rPr>
        <vertAlign val="subscript"/>
        <sz val="10"/>
        <rFont val="Times"/>
        <family val="1"/>
      </rPr>
      <t>x</t>
    </r>
    <r>
      <rPr>
        <sz val="10"/>
        <rFont val="Times"/>
        <family val="1"/>
      </rPr>
      <t xml:space="preserve"> (outgoing)</t>
    </r>
  </si>
  <si>
    <t xml:space="preserve"> = rms beam size ver (outgoing)</t>
  </si>
  <si>
    <t xml:space="preserve"> = rms beam size hor (outgoing)</t>
  </si>
  <si>
    <t>Beam pipe radius</t>
  </si>
  <si>
    <t>Hor rms beam size (incoming)</t>
  </si>
  <si>
    <t>Ver rms beam size (incoming)</t>
  </si>
  <si>
    <t>Hor aperture</t>
  </si>
  <si>
    <t>Ver aperture</t>
  </si>
  <si>
    <t>Beam sizes at location of BBLR (s = 40m)</t>
  </si>
  <si>
    <r>
      <t>[</t>
    </r>
    <r>
      <rPr>
        <sz val="10"/>
        <rFont val="Symbol"/>
        <family val="1"/>
        <charset val="2"/>
      </rPr>
      <t>s</t>
    </r>
    <r>
      <rPr>
        <sz val="10"/>
        <rFont val="Times"/>
        <family val="1"/>
      </rPr>
      <t>]</t>
    </r>
  </si>
  <si>
    <t>Wire location</t>
  </si>
  <si>
    <t>Hor aperture (incoming)</t>
  </si>
  <si>
    <t>Ver aperture (incoming)</t>
  </si>
  <si>
    <t xml:space="preserve"> = ver aperture (outgoing)</t>
  </si>
  <si>
    <t xml:space="preserve"> = hor aperture (outgoing)</t>
  </si>
  <si>
    <t>From : J.-P. Koutchouk, G. de Rijk, F. Zimmermann, Simulation of the LHC Long-Range Beam-Beam Effect at the SPS, Draft Note, April 2002</t>
  </si>
  <si>
    <t>Input parameters</t>
  </si>
  <si>
    <t>A</t>
  </si>
  <si>
    <t>m</t>
  </si>
  <si>
    <t>mm</t>
  </si>
  <si>
    <r>
      <t>W</t>
    </r>
    <r>
      <rPr>
        <sz val="10"/>
        <rFont val="Times New Roman"/>
        <family val="1"/>
      </rPr>
      <t>m</t>
    </r>
  </si>
  <si>
    <t>Output parameters</t>
  </si>
  <si>
    <r>
      <t xml:space="preserve">Heat conductivity </t>
    </r>
    <r>
      <rPr>
        <sz val="10"/>
        <rFont val="Symbol"/>
        <family val="1"/>
        <charset val="2"/>
      </rPr>
      <t>l</t>
    </r>
  </si>
  <si>
    <r>
      <t xml:space="preserve">Length of wire </t>
    </r>
    <r>
      <rPr>
        <i/>
        <sz val="10"/>
        <rFont val="Times New Roman"/>
        <family val="1"/>
      </rPr>
      <t>L</t>
    </r>
  </si>
  <si>
    <t>W</t>
  </si>
  <si>
    <t>Beam calculations</t>
  </si>
  <si>
    <r>
      <t>kg m</t>
    </r>
    <r>
      <rPr>
        <vertAlign val="superscript"/>
        <sz val="10"/>
        <rFont val="Times New Roman"/>
        <family val="1"/>
      </rPr>
      <t>-3</t>
    </r>
  </si>
  <si>
    <t>for Cu at 20C</t>
  </si>
  <si>
    <t>kg</t>
  </si>
  <si>
    <t>K</t>
  </si>
  <si>
    <t>for Cu at 20C (369 at 300C)</t>
  </si>
  <si>
    <r>
      <t xml:space="preserve">Max temperature change </t>
    </r>
    <r>
      <rPr>
        <sz val="10"/>
        <rFont val="Symbol"/>
        <family val="1"/>
        <charset val="2"/>
      </rPr>
      <t>D</t>
    </r>
    <r>
      <rPr>
        <i/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max</t>
    </r>
  </si>
  <si>
    <r>
      <t>Wm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K</t>
    </r>
    <r>
      <rPr>
        <vertAlign val="superscript"/>
        <sz val="10"/>
        <rFont val="Times New Roman"/>
        <family val="1"/>
      </rPr>
      <t>-1</t>
    </r>
  </si>
  <si>
    <t>Long-range interaction location</t>
  </si>
  <si>
    <t>Compensation location</t>
  </si>
  <si>
    <t>s</t>
  </si>
  <si>
    <r>
      <t>b</t>
    </r>
    <r>
      <rPr>
        <vertAlign val="subscript"/>
        <sz val="10"/>
        <rFont val="Times New Roman"/>
        <family val="1"/>
      </rPr>
      <t>x</t>
    </r>
  </si>
  <si>
    <r>
      <t>b</t>
    </r>
    <r>
      <rPr>
        <vertAlign val="subscript"/>
        <sz val="10"/>
        <rFont val="Times New Roman"/>
        <family val="1"/>
      </rPr>
      <t>y</t>
    </r>
  </si>
  <si>
    <r>
      <t xml:space="preserve">Normalized emittance </t>
    </r>
    <r>
      <rPr>
        <sz val="10"/>
        <rFont val="Symbol"/>
        <family val="1"/>
        <charset val="2"/>
      </rPr>
      <t>e</t>
    </r>
    <r>
      <rPr>
        <vertAlign val="subscript"/>
        <sz val="10"/>
        <rFont val="Times New Roman"/>
        <family val="1"/>
      </rPr>
      <t>n</t>
    </r>
  </si>
  <si>
    <t>mm mrad</t>
  </si>
  <si>
    <t>…</t>
  </si>
  <si>
    <t>mrad</t>
  </si>
  <si>
    <r>
      <t>s</t>
    </r>
    <r>
      <rPr>
        <vertAlign val="subscript"/>
        <sz val="10"/>
        <rFont val="Times New Roman"/>
        <family val="1"/>
      </rPr>
      <t>x</t>
    </r>
  </si>
  <si>
    <r>
      <t>s</t>
    </r>
    <r>
      <rPr>
        <vertAlign val="subscript"/>
        <sz val="10"/>
        <rFont val="Times New Roman"/>
        <family val="1"/>
      </rPr>
      <t>y</t>
    </r>
  </si>
  <si>
    <r>
      <t>s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/ </t>
    </r>
    <r>
      <rPr>
        <sz val="10"/>
        <rFont val="Symbol"/>
        <family val="1"/>
        <charset val="2"/>
      </rPr>
      <t>s</t>
    </r>
    <r>
      <rPr>
        <vertAlign val="subscript"/>
        <sz val="10"/>
        <rFont val="Times New Roman"/>
        <family val="1"/>
      </rPr>
      <t>y</t>
    </r>
  </si>
  <si>
    <t>Wolfram Fischer, BNL C-AD, 8-Sep-2005</t>
  </si>
  <si>
    <t>Input parameters to the lattice tables</t>
  </si>
  <si>
    <r>
      <t xml:space="preserve">Density </t>
    </r>
    <r>
      <rPr>
        <sz val="10"/>
        <rFont val="Symbol"/>
        <family val="1"/>
        <charset val="2"/>
      </rPr>
      <t>r</t>
    </r>
    <r>
      <rPr>
        <vertAlign val="subscript"/>
        <sz val="10"/>
        <rFont val="Times New Roman"/>
        <family val="1"/>
      </rPr>
      <t>g</t>
    </r>
  </si>
  <si>
    <r>
      <t xml:space="preserve">Thermal expansion coefficient </t>
    </r>
    <r>
      <rPr>
        <sz val="10"/>
        <rFont val="Symbol"/>
        <family val="1"/>
        <charset val="2"/>
      </rPr>
      <t>a</t>
    </r>
  </si>
  <si>
    <r>
      <t>K</t>
    </r>
    <r>
      <rPr>
        <vertAlign val="superscript"/>
        <sz val="10"/>
        <rFont val="Times New Roman"/>
        <family val="1"/>
      </rPr>
      <t>-1</t>
    </r>
  </si>
  <si>
    <t>for Cu between 0 and 100C</t>
  </si>
  <si>
    <r>
      <t xml:space="preserve">Full crossing angle </t>
    </r>
    <r>
      <rPr>
        <sz val="10"/>
        <rFont val="Symbol"/>
        <family val="1"/>
        <charset val="2"/>
      </rPr>
      <t>a</t>
    </r>
  </si>
  <si>
    <r>
      <t>d</t>
    </r>
    <r>
      <rPr>
        <vertAlign val="subscript"/>
        <sz val="10"/>
        <rFont val="Times New Roman"/>
        <family val="1"/>
      </rPr>
      <t>y</t>
    </r>
  </si>
  <si>
    <r>
      <t>d</t>
    </r>
    <r>
      <rPr>
        <vertAlign val="subscript"/>
        <sz val="10"/>
        <rFont val="Times New Roman"/>
        <family val="1"/>
      </rPr>
      <t>x</t>
    </r>
  </si>
  <si>
    <t>d</t>
  </si>
  <si>
    <r>
      <t xml:space="preserve">Lattice </t>
    </r>
    <r>
      <rPr>
        <b/>
        <sz val="10"/>
        <rFont val="Symbol"/>
        <family val="1"/>
        <charset val="2"/>
      </rPr>
      <t>b</t>
    </r>
    <r>
      <rPr>
        <b/>
        <sz val="10"/>
        <rFont val="Times New Roman"/>
        <family val="1"/>
      </rPr>
      <t>*</t>
    </r>
  </si>
  <si>
    <r>
      <t xml:space="preserve">Rms angular spread </t>
    </r>
    <r>
      <rPr>
        <sz val="10"/>
        <rFont val="Symbol"/>
        <family val="1"/>
        <charset val="2"/>
      </rPr>
      <t>s</t>
    </r>
    <r>
      <rPr>
        <sz val="10"/>
        <rFont val="Times New Roman"/>
        <family val="1"/>
      </rPr>
      <t>'*</t>
    </r>
  </si>
  <si>
    <r>
      <t xml:space="preserve">Rms beam size </t>
    </r>
    <r>
      <rPr>
        <sz val="10"/>
        <rFont val="Symbol"/>
        <family val="1"/>
        <charset val="2"/>
      </rPr>
      <t>s</t>
    </r>
    <r>
      <rPr>
        <sz val="10"/>
        <rFont val="Times New Roman"/>
        <family val="1"/>
      </rPr>
      <t>*</t>
    </r>
  </si>
  <si>
    <r>
      <t>s</t>
    </r>
    <r>
      <rPr>
        <sz val="10"/>
        <rFont val="Times New Roman"/>
        <family val="1"/>
      </rPr>
      <t>'*</t>
    </r>
  </si>
  <si>
    <r>
      <t>conservative choice for crossing angle is 7</t>
    </r>
    <r>
      <rPr>
        <sz val="10"/>
        <rFont val="Symbol"/>
        <family val="1"/>
        <charset val="2"/>
      </rPr>
      <t>s</t>
    </r>
    <r>
      <rPr>
        <sz val="10"/>
        <rFont val="Times New Roman"/>
        <family val="1"/>
      </rPr>
      <t>'*, loose about 25% of the luminosity with a 1 mrad crossing angle</t>
    </r>
  </si>
  <si>
    <r>
      <t xml:space="preserve">Electric resistance </t>
    </r>
    <r>
      <rPr>
        <i/>
        <sz val="10"/>
        <rFont val="Times New Roman"/>
        <family val="1"/>
      </rPr>
      <t>R</t>
    </r>
  </si>
  <si>
    <r>
      <t xml:space="preserve">Voltage </t>
    </r>
    <r>
      <rPr>
        <i/>
        <sz val="10"/>
        <rFont val="Times New Roman"/>
        <family val="1"/>
      </rPr>
      <t>U</t>
    </r>
  </si>
  <si>
    <r>
      <t>m</t>
    </r>
    <r>
      <rPr>
        <sz val="10"/>
        <rFont val="Symbol"/>
        <family val="1"/>
        <charset val="2"/>
      </rPr>
      <t>W</t>
    </r>
  </si>
  <si>
    <t>mV</t>
  </si>
  <si>
    <t>without radiation cooling, taking into account the parabolic temperature change</t>
  </si>
  <si>
    <r>
      <t>Wm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>K</t>
    </r>
    <r>
      <rPr>
        <vertAlign val="superscript"/>
        <sz val="10"/>
        <rFont val="Times New Roman"/>
        <family val="1"/>
      </rPr>
      <t>-4</t>
    </r>
  </si>
  <si>
    <t>for polished Cu at 20C</t>
  </si>
  <si>
    <r>
      <t xml:space="preserve">Emission constant </t>
    </r>
    <r>
      <rPr>
        <sz val="10"/>
        <rFont val="Symbol"/>
        <family val="1"/>
        <charset val="2"/>
      </rPr>
      <t>e</t>
    </r>
  </si>
  <si>
    <r>
      <t xml:space="preserve">Temperature of surrunding beam pipe </t>
    </r>
    <r>
      <rPr>
        <i/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u</t>
    </r>
  </si>
  <si>
    <r>
      <t xml:space="preserve">Stefan-Boltzmann constant </t>
    </r>
    <r>
      <rPr>
        <sz val="10"/>
        <rFont val="Symbol"/>
        <family val="1"/>
        <charset val="2"/>
      </rPr>
      <t>s</t>
    </r>
  </si>
  <si>
    <r>
      <t xml:space="preserve">Electric power </t>
    </r>
    <r>
      <rPr>
        <i/>
        <sz val="10"/>
        <rFont val="Times New Roman"/>
        <family val="1"/>
      </rPr>
      <t>P</t>
    </r>
  </si>
  <si>
    <t>Stefan-Boltzmann radiation law, only a valid in center and if much smaller than electric power (need to solve ODE otherwise)</t>
  </si>
  <si>
    <r>
      <t xml:space="preserve">Radiation heat transfer </t>
    </r>
    <r>
      <rPr>
        <i/>
        <sz val="10"/>
        <rFont val="Times New Roman"/>
        <family val="1"/>
      </rPr>
      <t>P</t>
    </r>
    <r>
      <rPr>
        <vertAlign val="subscript"/>
        <sz val="10"/>
        <rFont val="Times New Roman"/>
        <family val="1"/>
      </rPr>
      <t>r,max</t>
    </r>
  </si>
  <si>
    <t xml:space="preserve">Melting temperature </t>
  </si>
  <si>
    <t>for Cu</t>
  </si>
  <si>
    <t>C</t>
  </si>
  <si>
    <t>Am</t>
  </si>
  <si>
    <r>
      <t xml:space="preserve">Number of particles per bunch </t>
    </r>
    <r>
      <rPr>
        <i/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b</t>
    </r>
  </si>
  <si>
    <t>Integrated strength per long-range collision</t>
  </si>
  <si>
    <r>
      <t xml:space="preserve">from beam parameters above ( = </t>
    </r>
    <r>
      <rPr>
        <i/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e c</t>
    </r>
    <r>
      <rPr>
        <sz val="10"/>
        <rFont val="Times New Roman"/>
        <family val="1"/>
      </rPr>
      <t xml:space="preserve"> )</t>
    </r>
  </si>
  <si>
    <t>design for 125 Am (close to CERN conditions)</t>
  </si>
  <si>
    <t>Minium distance</t>
  </si>
  <si>
    <t>Maximum distance from beam pipe</t>
  </si>
  <si>
    <t>3sigma at 100GeV</t>
  </si>
  <si>
    <t>flush with other beam pipe wall</t>
  </si>
  <si>
    <r>
      <t xml:space="preserve">Radius of wire </t>
    </r>
    <r>
      <rPr>
        <i/>
        <sz val="10"/>
        <rFont val="Times New Roman"/>
        <family val="1"/>
      </rPr>
      <t>r</t>
    </r>
  </si>
  <si>
    <r>
      <t xml:space="preserve">Change in length </t>
    </r>
    <r>
      <rPr>
        <sz val="10"/>
        <rFont val="Symbol"/>
        <family val="1"/>
        <charset val="2"/>
      </rPr>
      <t>D</t>
    </r>
    <r>
      <rPr>
        <i/>
        <sz val="10"/>
        <rFont val="Times New Roman"/>
        <family val="1"/>
      </rPr>
      <t>L</t>
    </r>
  </si>
  <si>
    <r>
      <t xml:space="preserve">Integrated strength of compensator </t>
    </r>
    <r>
      <rPr>
        <i/>
        <sz val="10"/>
        <rFont val="Times New Roman"/>
        <family val="1"/>
      </rPr>
      <t>(IL)</t>
    </r>
  </si>
  <si>
    <t>Df</t>
  </si>
  <si>
    <t>DX-Q3</t>
  </si>
  <si>
    <r>
      <t xml:space="preserve">Weight of wire </t>
    </r>
    <r>
      <rPr>
        <i/>
        <sz val="10"/>
        <rFont val="Times New Roman"/>
        <family val="1"/>
      </rPr>
      <t>G</t>
    </r>
  </si>
  <si>
    <t>Round wire calculation</t>
  </si>
  <si>
    <r>
      <t xml:space="preserve">Current in wire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, single interaction</t>
    </r>
  </si>
  <si>
    <r>
      <t xml:space="preserve">Current in wire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, maximum</t>
    </r>
  </si>
  <si>
    <r>
      <t xml:space="preserve">Electrical resistivity </t>
    </r>
    <r>
      <rPr>
        <sz val="10"/>
        <rFont val="Symbol"/>
        <family val="1"/>
        <charset val="2"/>
      </rPr>
      <t>r</t>
    </r>
    <r>
      <rPr>
        <vertAlign val="subscript"/>
        <sz val="10"/>
        <rFont val="Symbol"/>
        <family val="1"/>
        <charset val="2"/>
      </rPr>
      <t>e</t>
    </r>
  </si>
  <si>
    <t>Number of heat sinks</t>
  </si>
  <si>
    <r>
      <t xml:space="preserve">independent of length 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if </t>
    </r>
    <r>
      <rPr>
        <i/>
        <sz val="10"/>
        <rFont val="Times New Roman"/>
        <family val="1"/>
      </rPr>
      <t>IL</t>
    </r>
    <r>
      <rPr>
        <sz val="10"/>
        <rFont val="Times New Roman"/>
        <family val="1"/>
      </rPr>
      <t>is fixed, without radiation cooling</t>
    </r>
  </si>
  <si>
    <t>at both ends, and in middle</t>
  </si>
  <si>
    <r>
      <t>b</t>
    </r>
    <r>
      <rPr>
        <sz val="10"/>
        <rFont val="Times New Roman"/>
        <family val="1"/>
      </rPr>
      <t>* = 100 m, no orbit error</t>
    </r>
  </si>
  <si>
    <t>Wolfram Fischer, BNL C-AD, 7-Feb-2006</t>
  </si>
  <si>
    <t>Orbit position in IR6 as a function of vertical position bump at IP6</t>
  </si>
  <si>
    <t>bump</t>
  </si>
  <si>
    <t>bi5-b3</t>
  </si>
  <si>
    <t>bi5-b4</t>
  </si>
  <si>
    <t>yo5-b3</t>
  </si>
  <si>
    <t>yo5-b4</t>
  </si>
  <si>
    <t>s=3760.65</t>
  </si>
  <si>
    <t>s = 3833.845m</t>
  </si>
  <si>
    <t>s = 0m</t>
  </si>
  <si>
    <t>s = 3796.95m</t>
  </si>
  <si>
    <t>s = 36.895m</t>
  </si>
  <si>
    <t>s = 73.195m</t>
  </si>
  <si>
    <t>1 Blue bunch and 108 Yellow bunches at injection, with frequencies unlocked</t>
  </si>
  <si>
    <r>
      <t xml:space="preserve">Maxiumum horizontal  </t>
    </r>
    <r>
      <rPr>
        <sz val="10"/>
        <rFont val="Symbol"/>
        <family val="1"/>
        <charset val="2"/>
      </rPr>
      <t>b</t>
    </r>
    <r>
      <rPr>
        <sz val="10"/>
        <rFont val="Times New Roman"/>
        <family val="1"/>
      </rPr>
      <t>-function in triplet</t>
    </r>
  </si>
  <si>
    <r>
      <t xml:space="preserve">Maxiumum vertical </t>
    </r>
    <r>
      <rPr>
        <sz val="10"/>
        <rFont val="Symbol"/>
        <family val="1"/>
        <charset val="2"/>
      </rPr>
      <t>b</t>
    </r>
    <r>
      <rPr>
        <sz val="10"/>
        <rFont val="Times New Roman"/>
        <family val="1"/>
      </rPr>
      <t>-function in triplet</t>
    </r>
  </si>
  <si>
    <t>Wolfram Fischer, BNL, C-AD, 2-Sep-2008</t>
  </si>
  <si>
    <t>Summary of long-range beam-beam measurements in RHIC</t>
  </si>
  <si>
    <t>date</t>
  </si>
  <si>
    <t>fillno</t>
  </si>
  <si>
    <t>species</t>
  </si>
  <si>
    <t>scan</t>
  </si>
  <si>
    <t>p</t>
  </si>
  <si>
    <r>
      <t xml:space="preserve">relativistic </t>
    </r>
    <r>
      <rPr>
        <sz val="10"/>
        <rFont val="Symbol"/>
        <family val="1"/>
        <charset val="2"/>
      </rPr>
      <t>g</t>
    </r>
  </si>
  <si>
    <t>LR location</t>
  </si>
  <si>
    <t>IR4 DX</t>
  </si>
  <si>
    <t>weak signal, only 1 bunch/ring with LR</t>
  </si>
  <si>
    <t>Other long-range beam-beam measurements</t>
  </si>
  <si>
    <t>Au</t>
  </si>
  <si>
    <t>ring</t>
  </si>
  <si>
    <t>B &amp; Y</t>
  </si>
  <si>
    <t>B</t>
  </si>
  <si>
    <t>no of bunches</t>
  </si>
  <si>
    <t>1/ring</t>
  </si>
  <si>
    <t>10/ring</t>
  </si>
  <si>
    <t>12/ring</t>
  </si>
  <si>
    <t>6</t>
  </si>
  <si>
    <t>56</t>
  </si>
  <si>
    <t>23</t>
  </si>
  <si>
    <t>B-BBLR</t>
  </si>
  <si>
    <t>Y-BBLR</t>
  </si>
  <si>
    <t>IR6 DX (sector 5)</t>
  </si>
  <si>
    <t>Y</t>
  </si>
  <si>
    <t>8 B/10 Y</t>
  </si>
  <si>
    <t>LR strength [Am]</t>
  </si>
  <si>
    <t>LR separation [mm]</t>
  </si>
  <si>
    <t>B beam position scanned</t>
  </si>
  <si>
    <t>Y beam position scanned</t>
  </si>
  <si>
    <t>B-BBLR position scanned</t>
  </si>
  <si>
    <t>Y-BBLR position scanned</t>
  </si>
  <si>
    <t>test effect on background: increased observed</t>
  </si>
  <si>
    <t>125 - 0</t>
  </si>
  <si>
    <t>75 - 125</t>
  </si>
  <si>
    <t>vert. chromaticity 2 - 8</t>
  </si>
  <si>
    <t>vert. chromaticity at 8</t>
  </si>
  <si>
    <t>all bunches with LR, arc octupoles on in Yellow with 4e-3 m^-3</t>
  </si>
  <si>
    <r>
      <t>R</t>
    </r>
    <r>
      <rPr>
        <vertAlign val="superscript"/>
        <sz val="10"/>
        <rFont val="Times New Roman"/>
        <family val="1"/>
      </rPr>
      <t>2</t>
    </r>
  </si>
  <si>
    <t>p […]</t>
  </si>
  <si>
    <r>
      <t>Fit to L(d) = A d</t>
    </r>
    <r>
      <rPr>
        <vertAlign val="super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(tested beam)</t>
    </r>
  </si>
  <si>
    <r>
      <t>Fit to L(d) = A d</t>
    </r>
    <r>
      <rPr>
        <vertAlign val="super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(moved beam)</t>
    </r>
  </si>
  <si>
    <t>weak signal</t>
  </si>
  <si>
    <t>hor tune</t>
  </si>
  <si>
    <t>ver tune</t>
  </si>
  <si>
    <t>[…]</t>
  </si>
  <si>
    <t>A [h]</t>
  </si>
  <si>
    <t>L &lt; 20 h</t>
  </si>
  <si>
    <r>
      <t>d [</t>
    </r>
    <r>
      <rPr>
        <sz val="10"/>
        <rFont val="Symbol"/>
        <family val="1"/>
        <charset val="2"/>
      </rPr>
      <t>s</t>
    </r>
    <r>
      <rPr>
        <sz val="10"/>
        <rFont val="Times New Roman"/>
        <family val="1"/>
      </rPr>
      <t>]</t>
    </r>
  </si>
  <si>
    <t>measure</t>
  </si>
  <si>
    <t>from row below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</si>
</sst>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mm/dd/yy;@"/>
    <numFmt numFmtId="167" formatCode="0.0000"/>
    <numFmt numFmtId="168" formatCode="0.0E+00"/>
  </numFmts>
  <fonts count="21"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Symbol"/>
      <family val="1"/>
      <charset val="2"/>
    </font>
    <font>
      <vertAlign val="subscript"/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Times"/>
      <family val="1"/>
    </font>
    <font>
      <b/>
      <sz val="10"/>
      <name val="Arial"/>
      <family val="2"/>
    </font>
    <font>
      <b/>
      <sz val="12"/>
      <name val="Times"/>
      <family val="1"/>
    </font>
    <font>
      <b/>
      <sz val="10"/>
      <color indexed="10"/>
      <name val="Arial"/>
      <family val="2"/>
    </font>
    <font>
      <vertAlign val="subscript"/>
      <sz val="10"/>
      <name val="Times"/>
      <family val="1"/>
    </font>
    <font>
      <b/>
      <sz val="10"/>
      <name val="Times"/>
      <family val="1"/>
    </font>
    <font>
      <sz val="8"/>
      <color indexed="81"/>
      <name val="Tahoma"/>
      <family val="2"/>
    </font>
    <font>
      <b/>
      <sz val="10"/>
      <color indexed="10"/>
      <name val="Times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Symbol"/>
      <family val="1"/>
      <charset val="2"/>
    </font>
    <font>
      <vertAlign val="subscript"/>
      <sz val="10"/>
      <name val="Symbol"/>
      <family val="1"/>
      <charset val="2"/>
    </font>
    <font>
      <sz val="8"/>
      <color indexed="81"/>
      <name val="Symbol"/>
      <family val="1"/>
      <charset val="2"/>
    </font>
    <font>
      <sz val="9"/>
      <color indexed="8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66FF6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6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/>
    <xf numFmtId="0" fontId="6" fillId="0" borderId="0" xfId="2"/>
    <xf numFmtId="0" fontId="7" fillId="0" borderId="0" xfId="2" applyFont="1"/>
    <xf numFmtId="0" fontId="8" fillId="0" borderId="0" xfId="2" applyFont="1"/>
    <xf numFmtId="0" fontId="3" fillId="0" borderId="2" xfId="2" applyFont="1" applyBorder="1" applyAlignment="1">
      <alignment horizontal="center"/>
    </xf>
    <xf numFmtId="0" fontId="6" fillId="0" borderId="0" xfId="2" applyAlignment="1">
      <alignment horizontal="center"/>
    </xf>
    <xf numFmtId="0" fontId="9" fillId="0" borderId="0" xfId="2" applyFont="1" applyFill="1" applyAlignment="1">
      <alignment horizontal="center"/>
    </xf>
    <xf numFmtId="0" fontId="6" fillId="0" borderId="3" xfId="2" applyBorder="1" applyAlignment="1">
      <alignment horizontal="center"/>
    </xf>
    <xf numFmtId="0" fontId="6" fillId="0" borderId="2" xfId="2" applyBorder="1" applyAlignment="1">
      <alignment horizontal="center"/>
    </xf>
    <xf numFmtId="0" fontId="3" fillId="0" borderId="0" xfId="2" applyFont="1" applyAlignment="1">
      <alignment horizontal="center"/>
    </xf>
    <xf numFmtId="0" fontId="6" fillId="0" borderId="1" xfId="2" applyBorder="1"/>
    <xf numFmtId="0" fontId="6" fillId="0" borderId="4" xfId="2" applyBorder="1" applyAlignment="1">
      <alignment horizontal="center"/>
    </xf>
    <xf numFmtId="0" fontId="6" fillId="0" borderId="1" xfId="2" applyBorder="1" applyAlignment="1">
      <alignment horizontal="center"/>
    </xf>
    <xf numFmtId="0" fontId="6" fillId="0" borderId="5" xfId="2" applyBorder="1" applyAlignment="1">
      <alignment horizontal="center"/>
    </xf>
    <xf numFmtId="0" fontId="6" fillId="0" borderId="2" xfId="2" applyBorder="1"/>
    <xf numFmtId="0" fontId="6" fillId="0" borderId="3" xfId="2" applyBorder="1"/>
    <xf numFmtId="164" fontId="6" fillId="0" borderId="0" xfId="2" applyNumberFormat="1" applyAlignment="1">
      <alignment horizontal="center"/>
    </xf>
    <xf numFmtId="165" fontId="6" fillId="0" borderId="2" xfId="2" applyNumberFormat="1" applyBorder="1" applyAlignment="1">
      <alignment horizontal="center"/>
    </xf>
    <xf numFmtId="164" fontId="6" fillId="0" borderId="3" xfId="2" applyNumberFormat="1" applyBorder="1" applyAlignment="1">
      <alignment horizontal="center"/>
    </xf>
    <xf numFmtId="165" fontId="6" fillId="0" borderId="0" xfId="2" applyNumberFormat="1" applyAlignment="1">
      <alignment horizontal="center"/>
    </xf>
    <xf numFmtId="0" fontId="6" fillId="0" borderId="0" xfId="2" applyBorder="1"/>
    <xf numFmtId="164" fontId="6" fillId="0" borderId="6" xfId="2" applyNumberFormat="1" applyBorder="1" applyAlignment="1">
      <alignment horizontal="center"/>
    </xf>
    <xf numFmtId="164" fontId="6" fillId="0" borderId="0" xfId="2" applyNumberFormat="1" applyBorder="1" applyAlignment="1">
      <alignment horizontal="center"/>
    </xf>
    <xf numFmtId="165" fontId="6" fillId="0" borderId="0" xfId="2" applyNumberFormat="1" applyBorder="1" applyAlignment="1">
      <alignment horizontal="center"/>
    </xf>
    <xf numFmtId="164" fontId="6" fillId="0" borderId="1" xfId="2" applyNumberFormat="1" applyBorder="1" applyAlignment="1">
      <alignment horizontal="center"/>
    </xf>
    <xf numFmtId="165" fontId="6" fillId="0" borderId="1" xfId="2" applyNumberFormat="1" applyBorder="1" applyAlignment="1">
      <alignment horizontal="center"/>
    </xf>
    <xf numFmtId="165" fontId="6" fillId="0" borderId="4" xfId="2" applyNumberFormat="1" applyBorder="1" applyAlignment="1">
      <alignment horizontal="center"/>
    </xf>
    <xf numFmtId="164" fontId="6" fillId="0" borderId="0" xfId="2" applyNumberFormat="1"/>
    <xf numFmtId="164" fontId="6" fillId="0" borderId="3" xfId="2" applyNumberFormat="1" applyBorder="1"/>
    <xf numFmtId="165" fontId="6" fillId="0" borderId="0" xfId="2" applyNumberFormat="1"/>
    <xf numFmtId="165" fontId="6" fillId="0" borderId="2" xfId="2" applyNumberFormat="1" applyBorder="1"/>
    <xf numFmtId="20" fontId="6" fillId="0" borderId="0" xfId="2" applyNumberFormat="1"/>
    <xf numFmtId="0" fontId="6" fillId="0" borderId="0" xfId="2" applyFont="1"/>
    <xf numFmtId="0" fontId="11" fillId="0" borderId="0" xfId="2" applyFont="1"/>
    <xf numFmtId="0" fontId="3" fillId="0" borderId="0" xfId="2" applyFont="1"/>
    <xf numFmtId="165" fontId="11" fillId="0" borderId="0" xfId="2" applyNumberFormat="1" applyFont="1"/>
    <xf numFmtId="0" fontId="6" fillId="0" borderId="0" xfId="2" applyFill="1"/>
    <xf numFmtId="0" fontId="13" fillId="0" borderId="0" xfId="2" applyFont="1"/>
    <xf numFmtId="165" fontId="13" fillId="0" borderId="0" xfId="2" applyNumberFormat="1" applyFont="1"/>
    <xf numFmtId="0" fontId="0" fillId="0" borderId="0" xfId="0" applyAlignment="1">
      <alignment horizontal="center"/>
    </xf>
    <xf numFmtId="0" fontId="1" fillId="0" borderId="0" xfId="0" applyFont="1"/>
    <xf numFmtId="0" fontId="14" fillId="0" borderId="0" xfId="1" applyFont="1" applyAlignment="1" applyProtection="1"/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2" applyFont="1" applyBorder="1"/>
    <xf numFmtId="164" fontId="6" fillId="0" borderId="7" xfId="2" applyNumberFormat="1" applyBorder="1" applyAlignment="1">
      <alignment horizontal="center"/>
    </xf>
    <xf numFmtId="165" fontId="6" fillId="0" borderId="8" xfId="2" applyNumberFormat="1" applyBorder="1" applyAlignment="1">
      <alignment horizontal="center"/>
    </xf>
    <xf numFmtId="164" fontId="6" fillId="0" borderId="1" xfId="2" applyNumberFormat="1" applyFill="1" applyBorder="1" applyAlignment="1">
      <alignment horizontal="center"/>
    </xf>
    <xf numFmtId="164" fontId="6" fillId="0" borderId="5" xfId="2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/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14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3" fillId="0" borderId="15" xfId="2" applyFont="1" applyBorder="1" applyAlignment="1">
      <alignment horizontal="center"/>
    </xf>
    <xf numFmtId="0" fontId="6" fillId="0" borderId="15" xfId="2" applyFont="1" applyBorder="1" applyAlignment="1">
      <alignment horizontal="center"/>
    </xf>
    <xf numFmtId="0" fontId="6" fillId="0" borderId="16" xfId="2" applyBorder="1" applyAlignment="1">
      <alignment horizontal="center"/>
    </xf>
    <xf numFmtId="0" fontId="6" fillId="0" borderId="15" xfId="2" applyBorder="1"/>
    <xf numFmtId="165" fontId="6" fillId="0" borderId="15" xfId="2" applyNumberFormat="1" applyBorder="1"/>
    <xf numFmtId="165" fontId="6" fillId="0" borderId="16" xfId="2" applyNumberFormat="1" applyBorder="1"/>
    <xf numFmtId="0" fontId="3" fillId="0" borderId="0" xfId="0" applyFont="1"/>
    <xf numFmtId="164" fontId="0" fillId="0" borderId="0" xfId="0" applyNumberFormat="1"/>
    <xf numFmtId="166" fontId="0" fillId="0" borderId="0" xfId="0" applyNumberFormat="1"/>
    <xf numFmtId="0" fontId="0" fillId="0" borderId="0" xfId="0" applyFill="1" applyBorder="1"/>
    <xf numFmtId="18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0" xfId="2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6" fillId="0" borderId="10" xfId="2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6" fillId="0" borderId="0" xfId="2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6" fillId="0" borderId="18" xfId="2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6" fillId="0" borderId="18" xfId="2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0" fillId="0" borderId="18" xfId="0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8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6" fillId="0" borderId="18" xfId="2" applyNumberFormat="1" applyFill="1" applyBorder="1" applyAlignment="1">
      <alignment horizontal="center"/>
    </xf>
    <xf numFmtId="167" fontId="6" fillId="0" borderId="10" xfId="2" applyNumberFormat="1" applyFill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1" fontId="0" fillId="0" borderId="18" xfId="0" applyNumberFormat="1" applyBorder="1"/>
    <xf numFmtId="0" fontId="0" fillId="0" borderId="19" xfId="0" applyBorder="1"/>
    <xf numFmtId="0" fontId="0" fillId="0" borderId="14" xfId="0" applyBorder="1"/>
    <xf numFmtId="0" fontId="0" fillId="0" borderId="1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5" fontId="0" fillId="0" borderId="19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7" fontId="0" fillId="0" borderId="0" xfId="0" applyNumberFormat="1" applyFill="1"/>
    <xf numFmtId="167" fontId="0" fillId="0" borderId="0" xfId="0" applyNumberFormat="1" applyFill="1" applyAlignment="1">
      <alignment horizontal="center"/>
    </xf>
    <xf numFmtId="165" fontId="0" fillId="0" borderId="0" xfId="0" applyNumberFormat="1" applyFill="1"/>
    <xf numFmtId="167" fontId="0" fillId="0" borderId="18" xfId="0" applyNumberFormat="1" applyFill="1" applyBorder="1"/>
    <xf numFmtId="165" fontId="0" fillId="0" borderId="18" xfId="0" applyNumberFormat="1" applyFill="1" applyBorder="1"/>
    <xf numFmtId="0" fontId="0" fillId="0" borderId="18" xfId="0" applyFill="1" applyBorder="1"/>
    <xf numFmtId="0" fontId="6" fillId="0" borderId="6" xfId="2" applyBorder="1" applyAlignment="1">
      <alignment horizontal="center"/>
    </xf>
    <xf numFmtId="0" fontId="6" fillId="0" borderId="0" xfId="2" applyAlignment="1">
      <alignment horizontal="center"/>
    </xf>
    <xf numFmtId="0" fontId="6" fillId="0" borderId="3" xfId="2" applyBorder="1" applyAlignment="1">
      <alignment horizontal="center"/>
    </xf>
    <xf numFmtId="0" fontId="6" fillId="0" borderId="17" xfId="2" applyBorder="1" applyAlignment="1">
      <alignment horizontal="center"/>
    </xf>
    <xf numFmtId="0" fontId="6" fillId="0" borderId="2" xfId="2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7" fontId="0" fillId="3" borderId="18" xfId="0" applyNumberFormat="1" applyFill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BBLR phase advances" xfId="2"/>
  </cellStyles>
  <dxfs count="0"/>
  <tableStyles count="0" defaultTableStyle="TableStyleMedium9" defaultPivotStyle="PivotStyleLight16"/>
  <colors>
    <mruColors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9796334012220267E-2"/>
          <c:y val="6.644529051159305E-2"/>
          <c:w val="0.8411405295315687"/>
          <c:h val="0.8006657506646980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'IP positions'!$A$12:$A$20</c:f>
              <c:numCache>
                <c:formatCode>General</c:formatCode>
                <c:ptCount val="9"/>
                <c:pt idx="0">
                  <c:v>-17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'IP positions'!$B$12:$B$20</c:f>
              <c:numCache>
                <c:formatCode>0.000</c:formatCode>
                <c:ptCount val="9"/>
                <c:pt idx="0">
                  <c:v>-13.698</c:v>
                </c:pt>
                <c:pt idx="1">
                  <c:v>-12.081</c:v>
                </c:pt>
                <c:pt idx="2">
                  <c:v>-8.0399999999999991</c:v>
                </c:pt>
                <c:pt idx="3">
                  <c:v>-3.9940000000000002</c:v>
                </c:pt>
                <c:pt idx="4">
                  <c:v>4.2999999999999997E-2</c:v>
                </c:pt>
                <c:pt idx="5">
                  <c:v>4.0839999999999996</c:v>
                </c:pt>
                <c:pt idx="6">
                  <c:v>8.1259999999999994</c:v>
                </c:pt>
                <c:pt idx="7">
                  <c:v>12.167</c:v>
                </c:pt>
                <c:pt idx="8">
                  <c:v>16.207999999999998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'IP positions'!$A$12:$A$20</c:f>
              <c:numCache>
                <c:formatCode>General</c:formatCode>
                <c:ptCount val="9"/>
                <c:pt idx="0">
                  <c:v>-17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'IP positions'!$C$12:$C$20</c:f>
              <c:numCache>
                <c:formatCode>0.000</c:formatCode>
                <c:ptCount val="9"/>
                <c:pt idx="0">
                  <c:v>-1.4430000000000001</c:v>
                </c:pt>
                <c:pt idx="1">
                  <c:v>-1.276</c:v>
                </c:pt>
                <c:pt idx="2">
                  <c:v>-0.93799999999999994</c:v>
                </c:pt>
                <c:pt idx="3">
                  <c:v>-0.443</c:v>
                </c:pt>
                <c:pt idx="4">
                  <c:v>-2.5999999999999999E-2</c:v>
                </c:pt>
                <c:pt idx="5">
                  <c:v>0.39100000000000001</c:v>
                </c:pt>
                <c:pt idx="6">
                  <c:v>8.7999999999999995E-2</c:v>
                </c:pt>
                <c:pt idx="7">
                  <c:v>1.224</c:v>
                </c:pt>
                <c:pt idx="8">
                  <c:v>1.641</c:v>
                </c:pt>
              </c:numCache>
            </c:numRef>
          </c:yVal>
        </c:ser>
        <c:axId val="87286144"/>
        <c:axId val="87288832"/>
      </c:scatterChart>
      <c:valAx>
        <c:axId val="87286144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x-axix label [unit]</a:t>
                </a:r>
              </a:p>
            </c:rich>
          </c:tx>
          <c:layout>
            <c:manualLayout>
              <c:xMode val="edge"/>
              <c:yMode val="edge"/>
              <c:x val="0.3808553971486775"/>
              <c:y val="0.8870445845432111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7288832"/>
        <c:crosses val="autoZero"/>
        <c:crossBetween val="midCat"/>
      </c:valAx>
      <c:valAx>
        <c:axId val="87288832"/>
        <c:scaling>
          <c:orientation val="minMax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y-axix label [unit]</a:t>
                </a:r>
              </a:p>
            </c:rich>
          </c:tx>
          <c:layout>
            <c:manualLayout>
              <c:xMode val="edge"/>
              <c:yMode val="edge"/>
              <c:x val="1.0183299389002061E-2"/>
              <c:y val="0.2392030066009190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"/>
                <a:cs typeface="Times New Roman" pitchFamily="18" charset="0"/>
              </a:defRPr>
            </a:pPr>
            <a:endParaRPr lang="en-US"/>
          </a:p>
        </c:txPr>
        <c:crossAx val="8728614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10" Type="http://schemas.openxmlformats.org/officeDocument/2006/relationships/image" Target="../media/image13.jpeg"/><Relationship Id="rId4" Type="http://schemas.openxmlformats.org/officeDocument/2006/relationships/image" Target="../media/image7.jpeg"/><Relationship Id="rId9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12</xdr:col>
      <xdr:colOff>485775</xdr:colOff>
      <xdr:row>34</xdr:row>
      <xdr:rowOff>57150</xdr:rowOff>
    </xdr:to>
    <xdr:pic>
      <xdr:nvPicPr>
        <xdr:cNvPr id="192526" name="Picture 1" descr="C:\Documents and Settings\wfischer\My Documents\Work\BeamBeam\BBLR_phase_advances.bm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57700"/>
          <a:ext cx="81629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13</xdr:col>
      <xdr:colOff>19050</xdr:colOff>
      <xdr:row>55</xdr:row>
      <xdr:rowOff>104775</xdr:rowOff>
    </xdr:to>
    <xdr:pic>
      <xdr:nvPicPr>
        <xdr:cNvPr id="192527" name="Picture 6" descr="C:\Documents and Settings\wfischer\My Documents\pic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915025"/>
          <a:ext cx="8229600" cy="318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13</xdr:col>
      <xdr:colOff>0</xdr:colOff>
      <xdr:row>106</xdr:row>
      <xdr:rowOff>38100</xdr:rowOff>
    </xdr:to>
    <xdr:pic>
      <xdr:nvPicPr>
        <xdr:cNvPr id="192528" name="Picture 7" descr="C:\Documents and Settings\wfischer\My Documents\pic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9315450"/>
          <a:ext cx="8210550" cy="797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6</xdr:col>
      <xdr:colOff>666750</xdr:colOff>
      <xdr:row>38</xdr:row>
      <xdr:rowOff>114300</xdr:rowOff>
    </xdr:to>
    <xdr:graphicFrame macro="">
      <xdr:nvGraphicFramePr>
        <xdr:cNvPr id="194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5</xdr:row>
      <xdr:rowOff>0</xdr:rowOff>
    </xdr:from>
    <xdr:to>
      <xdr:col>42</xdr:col>
      <xdr:colOff>419100</xdr:colOff>
      <xdr:row>27</xdr:row>
      <xdr:rowOff>133350</xdr:rowOff>
    </xdr:to>
    <xdr:pic>
      <xdr:nvPicPr>
        <xdr:cNvPr id="8" name="Picture 7" descr="689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16325" y="923925"/>
          <a:ext cx="5219700" cy="3695700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5</xdr:row>
      <xdr:rowOff>0</xdr:rowOff>
    </xdr:from>
    <xdr:to>
      <xdr:col>52</xdr:col>
      <xdr:colOff>504825</xdr:colOff>
      <xdr:row>27</xdr:row>
      <xdr:rowOff>76200</xdr:rowOff>
    </xdr:to>
    <xdr:pic>
      <xdr:nvPicPr>
        <xdr:cNvPr id="9" name="Picture 8" descr="7807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59875" y="933450"/>
          <a:ext cx="5305425" cy="3638550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28</xdr:row>
      <xdr:rowOff>0</xdr:rowOff>
    </xdr:from>
    <xdr:to>
      <xdr:col>62</xdr:col>
      <xdr:colOff>285750</xdr:colOff>
      <xdr:row>49</xdr:row>
      <xdr:rowOff>133350</xdr:rowOff>
    </xdr:to>
    <xdr:pic>
      <xdr:nvPicPr>
        <xdr:cNvPr id="12" name="Picture 11" descr="8405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193875" y="4657725"/>
          <a:ext cx="5086350" cy="3533775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28</xdr:row>
      <xdr:rowOff>0</xdr:rowOff>
    </xdr:from>
    <xdr:to>
      <xdr:col>42</xdr:col>
      <xdr:colOff>419100</xdr:colOff>
      <xdr:row>49</xdr:row>
      <xdr:rowOff>123825</xdr:rowOff>
    </xdr:to>
    <xdr:pic>
      <xdr:nvPicPr>
        <xdr:cNvPr id="13" name="Picture 12" descr="8231_1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525875" y="4657725"/>
          <a:ext cx="5219700" cy="3524250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28</xdr:row>
      <xdr:rowOff>0</xdr:rowOff>
    </xdr:from>
    <xdr:to>
      <xdr:col>52</xdr:col>
      <xdr:colOff>161925</xdr:colOff>
      <xdr:row>49</xdr:row>
      <xdr:rowOff>152400</xdr:rowOff>
    </xdr:to>
    <xdr:pic>
      <xdr:nvPicPr>
        <xdr:cNvPr id="14" name="Picture 13" descr="8231_2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859875" y="4657725"/>
          <a:ext cx="4962525" cy="3552825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50</xdr:row>
      <xdr:rowOff>0</xdr:rowOff>
    </xdr:from>
    <xdr:to>
      <xdr:col>52</xdr:col>
      <xdr:colOff>133350</xdr:colOff>
      <xdr:row>71</xdr:row>
      <xdr:rowOff>57150</xdr:rowOff>
    </xdr:to>
    <xdr:pic>
      <xdr:nvPicPr>
        <xdr:cNvPr id="11" name="Picture 10" descr="2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859875" y="8220075"/>
          <a:ext cx="4933950" cy="3457575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94</xdr:row>
      <xdr:rowOff>0</xdr:rowOff>
    </xdr:from>
    <xdr:to>
      <xdr:col>42</xdr:col>
      <xdr:colOff>238125</xdr:colOff>
      <xdr:row>115</xdr:row>
      <xdr:rowOff>114300</xdr:rowOff>
    </xdr:to>
    <xdr:pic>
      <xdr:nvPicPr>
        <xdr:cNvPr id="15" name="Picture 14" descr="9664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525875" y="15344775"/>
          <a:ext cx="5038725" cy="3514725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50</xdr:row>
      <xdr:rowOff>0</xdr:rowOff>
    </xdr:from>
    <xdr:to>
      <xdr:col>42</xdr:col>
      <xdr:colOff>190500</xdr:colOff>
      <xdr:row>71</xdr:row>
      <xdr:rowOff>133350</xdr:rowOff>
    </xdr:to>
    <xdr:pic>
      <xdr:nvPicPr>
        <xdr:cNvPr id="17" name="Picture 16" descr="1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525875" y="8220075"/>
          <a:ext cx="4991100" cy="3533775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50</xdr:row>
      <xdr:rowOff>0</xdr:rowOff>
    </xdr:from>
    <xdr:to>
      <xdr:col>62</xdr:col>
      <xdr:colOff>219075</xdr:colOff>
      <xdr:row>71</xdr:row>
      <xdr:rowOff>142875</xdr:rowOff>
    </xdr:to>
    <xdr:pic>
      <xdr:nvPicPr>
        <xdr:cNvPr id="10" name="Picture 9" descr="Capture3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8260675" y="8220075"/>
          <a:ext cx="5019675" cy="3543300"/>
        </a:xfrm>
        <a:prstGeom prst="rect">
          <a:avLst/>
        </a:prstGeom>
      </xdr:spPr>
    </xdr:pic>
    <xdr:clientData/>
  </xdr:twoCellAnchor>
  <xdr:twoCellAnchor editAs="oneCell">
    <xdr:from>
      <xdr:col>63</xdr:col>
      <xdr:colOff>0</xdr:colOff>
      <xdr:row>50</xdr:row>
      <xdr:rowOff>0</xdr:rowOff>
    </xdr:from>
    <xdr:to>
      <xdr:col>72</xdr:col>
      <xdr:colOff>104775</xdr:colOff>
      <xdr:row>71</xdr:row>
      <xdr:rowOff>85725</xdr:rowOff>
    </xdr:to>
    <xdr:pic>
      <xdr:nvPicPr>
        <xdr:cNvPr id="16" name="Picture 15" descr="Capture4.JP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3594675" y="8220075"/>
          <a:ext cx="4905375" cy="3486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ern-ab-bblr.web.cern.ch/cern-ab-bblr/note2.pdf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workbookViewId="0">
      <selection activeCell="C17" sqref="C17"/>
    </sheetView>
  </sheetViews>
  <sheetFormatPr defaultRowHeight="12.75"/>
  <cols>
    <col min="1" max="1" width="15.1640625" style="5" customWidth="1"/>
    <col min="2" max="12" width="10.83203125" style="5" customWidth="1"/>
    <col min="13" max="16384" width="9.33203125" style="5"/>
  </cols>
  <sheetData>
    <row r="1" spans="1:17">
      <c r="A1" s="5" t="s">
        <v>6</v>
      </c>
    </row>
    <row r="3" spans="1:17">
      <c r="A3" s="37" t="s">
        <v>7</v>
      </c>
    </row>
    <row r="5" spans="1:17" ht="15.75">
      <c r="A5" s="7" t="s">
        <v>8</v>
      </c>
    </row>
    <row r="6" spans="1:17">
      <c r="A6" s="6"/>
      <c r="B6" s="8" t="s">
        <v>26</v>
      </c>
      <c r="C6" s="9" t="s">
        <v>9</v>
      </c>
      <c r="D6" s="10" t="s">
        <v>10</v>
      </c>
      <c r="E6" s="9" t="s">
        <v>11</v>
      </c>
      <c r="F6" s="9" t="s">
        <v>12</v>
      </c>
      <c r="G6" s="11" t="s">
        <v>13</v>
      </c>
      <c r="H6" s="9" t="s">
        <v>9</v>
      </c>
      <c r="I6" s="10" t="s">
        <v>10</v>
      </c>
      <c r="J6" s="9" t="s">
        <v>11</v>
      </c>
      <c r="K6" s="9" t="s">
        <v>12</v>
      </c>
      <c r="L6" s="12" t="s">
        <v>13</v>
      </c>
      <c r="M6" s="91" t="s">
        <v>128</v>
      </c>
    </row>
    <row r="7" spans="1:17" ht="14.25">
      <c r="A7" s="6"/>
      <c r="B7" s="8"/>
      <c r="C7" s="155" t="s">
        <v>14</v>
      </c>
      <c r="D7" s="156"/>
      <c r="E7" s="156"/>
      <c r="F7" s="156"/>
      <c r="G7" s="157"/>
      <c r="H7" s="158" t="s">
        <v>15</v>
      </c>
      <c r="I7" s="156"/>
      <c r="J7" s="156"/>
      <c r="K7" s="156"/>
      <c r="L7" s="159"/>
      <c r="M7" s="92" t="s">
        <v>129</v>
      </c>
      <c r="P7" s="13" t="s">
        <v>27</v>
      </c>
      <c r="Q7" s="13" t="s">
        <v>28</v>
      </c>
    </row>
    <row r="8" spans="1:17" ht="13.5" thickBot="1">
      <c r="A8" s="14"/>
      <c r="B8" s="15" t="s">
        <v>5</v>
      </c>
      <c r="C8" s="16" t="s">
        <v>29</v>
      </c>
      <c r="D8" s="16" t="s">
        <v>29</v>
      </c>
      <c r="E8" s="16" t="s">
        <v>29</v>
      </c>
      <c r="F8" s="16" t="s">
        <v>29</v>
      </c>
      <c r="G8" s="17" t="s">
        <v>29</v>
      </c>
      <c r="H8" s="16" t="s">
        <v>16</v>
      </c>
      <c r="I8" s="16" t="s">
        <v>16</v>
      </c>
      <c r="J8" s="16" t="s">
        <v>16</v>
      </c>
      <c r="K8" s="16" t="s">
        <v>16</v>
      </c>
      <c r="L8" s="15" t="s">
        <v>16</v>
      </c>
      <c r="M8" s="93" t="s">
        <v>16</v>
      </c>
      <c r="O8" s="14"/>
      <c r="P8" s="16" t="s">
        <v>29</v>
      </c>
      <c r="Q8" s="16" t="s">
        <v>29</v>
      </c>
    </row>
    <row r="9" spans="1:17">
      <c r="A9" s="37" t="s">
        <v>17</v>
      </c>
      <c r="B9" s="18"/>
      <c r="G9" s="19"/>
      <c r="L9" s="18"/>
      <c r="M9" s="94"/>
      <c r="O9" s="5" t="s">
        <v>10</v>
      </c>
      <c r="P9" s="20">
        <v>0</v>
      </c>
      <c r="Q9" s="20">
        <f>P9</f>
        <v>0</v>
      </c>
    </row>
    <row r="10" spans="1:17">
      <c r="A10" s="5" t="s">
        <v>18</v>
      </c>
      <c r="B10" s="21">
        <v>10</v>
      </c>
      <c r="C10" s="20">
        <f t="shared" ref="C10:C15" si="0">D10-(E10-D10)</f>
        <v>-0.10925799999999999</v>
      </c>
      <c r="D10" s="20">
        <v>0</v>
      </c>
      <c r="E10" s="20">
        <v>0.10925799999999999</v>
      </c>
      <c r="F10" s="20">
        <v>0.21737799999999999</v>
      </c>
      <c r="G10" s="22">
        <v>0.54387099999999999</v>
      </c>
      <c r="H10" s="23">
        <f t="shared" ref="H10:L14" si="1">(C10-$D10)*360</f>
        <v>-39.332879999999996</v>
      </c>
      <c r="I10" s="23">
        <f t="shared" si="1"/>
        <v>0</v>
      </c>
      <c r="J10" s="23">
        <f t="shared" si="1"/>
        <v>39.332879999999996</v>
      </c>
      <c r="K10" s="23">
        <f t="shared" si="1"/>
        <v>78.256079999999997</v>
      </c>
      <c r="L10" s="21">
        <f t="shared" si="1"/>
        <v>195.79355999999999</v>
      </c>
      <c r="M10" s="95">
        <f t="shared" ref="M10:M15" si="2">K10-J10</f>
        <v>38.923200000000001</v>
      </c>
      <c r="O10" s="5" t="s">
        <v>19</v>
      </c>
      <c r="P10" s="20">
        <v>5.2569999999999997</v>
      </c>
      <c r="Q10" s="20">
        <v>4.2809999999999997</v>
      </c>
    </row>
    <row r="11" spans="1:17">
      <c r="A11" s="24" t="s">
        <v>20</v>
      </c>
      <c r="B11" s="21">
        <v>5</v>
      </c>
      <c r="C11" s="25">
        <f t="shared" si="0"/>
        <v>13.885999999999999</v>
      </c>
      <c r="D11" s="26">
        <v>14.052</v>
      </c>
      <c r="E11" s="26">
        <v>14.218</v>
      </c>
      <c r="F11" s="26">
        <v>14.286</v>
      </c>
      <c r="G11" s="22">
        <v>14.629</v>
      </c>
      <c r="H11" s="27">
        <f t="shared" si="1"/>
        <v>-59.760000000000133</v>
      </c>
      <c r="I11" s="27">
        <f t="shared" si="1"/>
        <v>0</v>
      </c>
      <c r="J11" s="27">
        <f t="shared" si="1"/>
        <v>59.760000000000133</v>
      </c>
      <c r="K11" s="27">
        <f t="shared" si="1"/>
        <v>84.24</v>
      </c>
      <c r="L11" s="21">
        <f t="shared" si="1"/>
        <v>207.71999999999997</v>
      </c>
      <c r="M11" s="95">
        <f t="shared" si="2"/>
        <v>24.479999999999862</v>
      </c>
      <c r="O11" s="5" t="s">
        <v>21</v>
      </c>
      <c r="P11" s="20">
        <v>9.3940000000000001</v>
      </c>
      <c r="Q11" s="20">
        <v>9.6980000000000004</v>
      </c>
    </row>
    <row r="12" spans="1:17">
      <c r="A12" s="5" t="s">
        <v>20</v>
      </c>
      <c r="B12" s="21">
        <v>3</v>
      </c>
      <c r="C12" s="20">
        <f t="shared" si="0"/>
        <v>9.2000000000000011</v>
      </c>
      <c r="D12" s="20">
        <v>9.3940000000000001</v>
      </c>
      <c r="E12" s="20">
        <v>9.5879999999999992</v>
      </c>
      <c r="F12" s="20">
        <v>9.6349999999999998</v>
      </c>
      <c r="G12" s="22">
        <v>10.006</v>
      </c>
      <c r="H12" s="23">
        <f t="shared" si="1"/>
        <v>-69.839999999999662</v>
      </c>
      <c r="I12" s="23">
        <f t="shared" si="1"/>
        <v>0</v>
      </c>
      <c r="J12" s="23">
        <f t="shared" si="1"/>
        <v>69.839999999999662</v>
      </c>
      <c r="K12" s="23">
        <f t="shared" si="1"/>
        <v>86.759999999999877</v>
      </c>
      <c r="L12" s="21">
        <f t="shared" si="1"/>
        <v>220.32000000000005</v>
      </c>
      <c r="M12" s="95">
        <f t="shared" si="2"/>
        <v>16.920000000000215</v>
      </c>
      <c r="O12" s="5" t="s">
        <v>22</v>
      </c>
      <c r="P12" s="20">
        <v>14.644</v>
      </c>
      <c r="Q12" s="20">
        <v>14.052</v>
      </c>
    </row>
    <row r="13" spans="1:17">
      <c r="A13" s="5" t="s">
        <v>20</v>
      </c>
      <c r="B13" s="21">
        <v>1</v>
      </c>
      <c r="C13" s="20">
        <f t="shared" si="0"/>
        <v>-0.23065099999999999</v>
      </c>
      <c r="D13" s="20">
        <v>0</v>
      </c>
      <c r="E13" s="20">
        <v>0.23065099999999999</v>
      </c>
      <c r="F13" s="20">
        <v>0.24654799999999999</v>
      </c>
      <c r="G13" s="22">
        <v>0.68521399999999999</v>
      </c>
      <c r="H13" s="23">
        <f t="shared" si="1"/>
        <v>-83.034359999999992</v>
      </c>
      <c r="I13" s="23">
        <f t="shared" si="1"/>
        <v>0</v>
      </c>
      <c r="J13" s="23">
        <f t="shared" si="1"/>
        <v>83.034359999999992</v>
      </c>
      <c r="K13" s="23">
        <f t="shared" si="1"/>
        <v>88.757279999999994</v>
      </c>
      <c r="L13" s="21">
        <f t="shared" si="1"/>
        <v>246.67704000000001</v>
      </c>
      <c r="M13" s="95">
        <f t="shared" si="2"/>
        <v>5.722920000000002</v>
      </c>
      <c r="O13" s="5" t="s">
        <v>23</v>
      </c>
      <c r="P13" s="20">
        <v>18.827000000000002</v>
      </c>
      <c r="Q13" s="20">
        <v>19.457999999999998</v>
      </c>
    </row>
    <row r="14" spans="1:17">
      <c r="A14" s="24" t="s">
        <v>20</v>
      </c>
      <c r="B14" s="12">
        <v>0.85</v>
      </c>
      <c r="C14" s="26">
        <f t="shared" si="0"/>
        <v>-0.23599999999999999</v>
      </c>
      <c r="D14" s="26">
        <v>0</v>
      </c>
      <c r="E14" s="26">
        <v>0.23599999999999999</v>
      </c>
      <c r="F14" s="26">
        <v>0.249</v>
      </c>
      <c r="G14" s="22">
        <v>0.69299999999999995</v>
      </c>
      <c r="H14" s="27">
        <f t="shared" si="1"/>
        <v>-84.96</v>
      </c>
      <c r="I14" s="27">
        <f t="shared" si="1"/>
        <v>0</v>
      </c>
      <c r="J14" s="27">
        <f t="shared" si="1"/>
        <v>84.96</v>
      </c>
      <c r="K14" s="27">
        <f t="shared" si="1"/>
        <v>89.64</v>
      </c>
      <c r="L14" s="21">
        <f t="shared" si="1"/>
        <v>249.48</v>
      </c>
      <c r="M14" s="95">
        <f t="shared" si="2"/>
        <v>4.6800000000000068</v>
      </c>
      <c r="O14" s="5" t="s">
        <v>24</v>
      </c>
      <c r="P14" s="20">
        <v>24.077000000000002</v>
      </c>
      <c r="Q14" s="20">
        <v>23.812999999999999</v>
      </c>
    </row>
    <row r="15" spans="1:17" ht="13.5" thickBot="1">
      <c r="A15" s="56" t="s">
        <v>20</v>
      </c>
      <c r="B15" s="15">
        <v>0.5</v>
      </c>
      <c r="C15" s="57">
        <f t="shared" si="0"/>
        <v>-0.23899999999999999</v>
      </c>
      <c r="D15" s="28">
        <v>0</v>
      </c>
      <c r="E15" s="59">
        <v>0.23899999999999999</v>
      </c>
      <c r="F15" s="59">
        <v>0.247</v>
      </c>
      <c r="G15" s="60">
        <v>0.26500000000000001</v>
      </c>
      <c r="H15" s="58">
        <f>(C15-$D15)*360</f>
        <v>-86.039999999999992</v>
      </c>
      <c r="I15" s="29">
        <f>(D15-$D15)*360</f>
        <v>0</v>
      </c>
      <c r="J15" s="29">
        <f>(E15-$D15)*360</f>
        <v>86.039999999999992</v>
      </c>
      <c r="K15" s="29">
        <f>(F15-$D15)*360</f>
        <v>88.92</v>
      </c>
      <c r="L15" s="30">
        <f>(G15-$D15)*360</f>
        <v>95.4</v>
      </c>
      <c r="M15" s="96">
        <f t="shared" si="2"/>
        <v>2.8800000000000097</v>
      </c>
      <c r="O15" s="5" t="s">
        <v>10</v>
      </c>
      <c r="P15" s="20">
        <v>28.23</v>
      </c>
      <c r="Q15" s="20">
        <v>29.22</v>
      </c>
    </row>
    <row r="16" spans="1:17">
      <c r="A16" s="37" t="s">
        <v>25</v>
      </c>
      <c r="B16" s="18"/>
      <c r="C16" s="31"/>
      <c r="D16" s="31"/>
      <c r="E16" s="31"/>
      <c r="F16" s="31"/>
      <c r="G16" s="32"/>
      <c r="H16" s="33"/>
      <c r="I16" s="33"/>
      <c r="J16" s="33"/>
      <c r="K16" s="33"/>
      <c r="L16" s="34"/>
      <c r="M16" s="94"/>
    </row>
    <row r="17" spans="1:13">
      <c r="A17" s="5" t="s">
        <v>18</v>
      </c>
      <c r="B17" s="21">
        <v>10</v>
      </c>
      <c r="C17" s="20">
        <f t="shared" ref="C17:C22" si="3">D17-(E17-D17)</f>
        <v>-0.10843</v>
      </c>
      <c r="D17" s="20">
        <v>0</v>
      </c>
      <c r="E17" s="20">
        <v>0.10843</v>
      </c>
      <c r="F17" s="20">
        <v>0.21343899999999999</v>
      </c>
      <c r="G17" s="22">
        <v>0.33157799999999998</v>
      </c>
      <c r="H17" s="23">
        <f t="shared" ref="H17:L22" si="4">(C17-$D17)*360</f>
        <v>-39.034799999999997</v>
      </c>
      <c r="I17" s="23">
        <f t="shared" si="4"/>
        <v>0</v>
      </c>
      <c r="J17" s="23">
        <f t="shared" si="4"/>
        <v>39.034799999999997</v>
      </c>
      <c r="K17" s="23">
        <f t="shared" si="4"/>
        <v>76.838039999999992</v>
      </c>
      <c r="L17" s="21">
        <f t="shared" si="4"/>
        <v>119.36807999999999</v>
      </c>
      <c r="M17" s="95">
        <f t="shared" ref="M17:M22" si="5">K17-J17</f>
        <v>37.803239999999995</v>
      </c>
    </row>
    <row r="18" spans="1:13">
      <c r="A18" s="24" t="s">
        <v>20</v>
      </c>
      <c r="B18" s="21">
        <v>5</v>
      </c>
      <c r="C18" s="25">
        <f t="shared" si="3"/>
        <v>14.479000000000001</v>
      </c>
      <c r="D18" s="26">
        <v>14.644</v>
      </c>
      <c r="E18" s="26">
        <v>14.808999999999999</v>
      </c>
      <c r="F18" s="26">
        <v>14.874000000000001</v>
      </c>
      <c r="G18" s="22">
        <v>14.94</v>
      </c>
      <c r="H18" s="27">
        <f t="shared" si="4"/>
        <v>-59.399999999999693</v>
      </c>
      <c r="I18" s="27">
        <f t="shared" si="4"/>
        <v>0</v>
      </c>
      <c r="J18" s="27">
        <f t="shared" si="4"/>
        <v>59.399999999999693</v>
      </c>
      <c r="K18" s="27">
        <f t="shared" si="4"/>
        <v>82.800000000000153</v>
      </c>
      <c r="L18" s="21">
        <f t="shared" si="4"/>
        <v>106.55999999999977</v>
      </c>
      <c r="M18" s="95">
        <f t="shared" si="5"/>
        <v>23.40000000000046</v>
      </c>
    </row>
    <row r="19" spans="1:13">
      <c r="A19" s="5" t="s">
        <v>20</v>
      </c>
      <c r="B19" s="21">
        <v>3</v>
      </c>
      <c r="C19" s="20">
        <f t="shared" si="3"/>
        <v>9.5050000000000008</v>
      </c>
      <c r="D19" s="20">
        <v>9.6980000000000004</v>
      </c>
      <c r="E19" s="20">
        <v>9.891</v>
      </c>
      <c r="F19" s="20">
        <v>9.9359999999999999</v>
      </c>
      <c r="G19" s="22">
        <v>9.9830000000000005</v>
      </c>
      <c r="H19" s="23">
        <f t="shared" si="4"/>
        <v>-69.479999999999862</v>
      </c>
      <c r="I19" s="23">
        <f t="shared" si="4"/>
        <v>0</v>
      </c>
      <c r="J19" s="23">
        <f t="shared" si="4"/>
        <v>69.479999999999862</v>
      </c>
      <c r="K19" s="23">
        <f t="shared" si="4"/>
        <v>85.679999999999836</v>
      </c>
      <c r="L19" s="21">
        <f t="shared" si="4"/>
        <v>102.60000000000005</v>
      </c>
      <c r="M19" s="95">
        <f t="shared" si="5"/>
        <v>16.199999999999974</v>
      </c>
    </row>
    <row r="20" spans="1:13">
      <c r="A20" s="5" t="s">
        <v>20</v>
      </c>
      <c r="B20" s="21">
        <v>1</v>
      </c>
      <c r="C20" s="20">
        <f t="shared" si="3"/>
        <v>-0.23071800000000001</v>
      </c>
      <c r="D20" s="20">
        <v>0</v>
      </c>
      <c r="E20" s="20">
        <v>0.23071800000000001</v>
      </c>
      <c r="F20" s="20">
        <v>0.24642700000000001</v>
      </c>
      <c r="G20" s="22">
        <v>0.26817299999999999</v>
      </c>
      <c r="H20" s="23">
        <f t="shared" si="4"/>
        <v>-83.058480000000003</v>
      </c>
      <c r="I20" s="23">
        <f t="shared" si="4"/>
        <v>0</v>
      </c>
      <c r="J20" s="23">
        <f t="shared" si="4"/>
        <v>83.058480000000003</v>
      </c>
      <c r="K20" s="23">
        <f t="shared" si="4"/>
        <v>88.713720000000009</v>
      </c>
      <c r="L20" s="21">
        <f t="shared" si="4"/>
        <v>96.542280000000005</v>
      </c>
      <c r="M20" s="95">
        <f t="shared" si="5"/>
        <v>5.6552400000000063</v>
      </c>
    </row>
    <row r="21" spans="1:13">
      <c r="A21" s="24" t="s">
        <v>20</v>
      </c>
      <c r="B21" s="12">
        <v>0.85</v>
      </c>
      <c r="C21" s="26">
        <f t="shared" si="3"/>
        <v>-0.23400000000000001</v>
      </c>
      <c r="D21" s="26">
        <v>0</v>
      </c>
      <c r="E21" s="26">
        <v>0.23400000000000001</v>
      </c>
      <c r="F21" s="26">
        <v>0.247</v>
      </c>
      <c r="G21" s="22">
        <v>0.26600000000000001</v>
      </c>
      <c r="H21" s="27">
        <f t="shared" si="4"/>
        <v>-84.240000000000009</v>
      </c>
      <c r="I21" s="27">
        <f t="shared" si="4"/>
        <v>0</v>
      </c>
      <c r="J21" s="27">
        <f t="shared" si="4"/>
        <v>84.240000000000009</v>
      </c>
      <c r="K21" s="27">
        <f t="shared" si="4"/>
        <v>88.92</v>
      </c>
      <c r="L21" s="21">
        <f t="shared" si="4"/>
        <v>95.76</v>
      </c>
      <c r="M21" s="95">
        <f t="shared" si="5"/>
        <v>4.6799999999999926</v>
      </c>
    </row>
    <row r="22" spans="1:13" ht="13.5" thickBot="1">
      <c r="A22" s="56" t="s">
        <v>20</v>
      </c>
      <c r="B22" s="15">
        <v>0.5</v>
      </c>
      <c r="C22" s="57">
        <f t="shared" si="3"/>
        <v>-0.24399999999999999</v>
      </c>
      <c r="D22" s="28">
        <v>0</v>
      </c>
      <c r="E22" s="59">
        <v>0.24399999999999999</v>
      </c>
      <c r="F22" s="59">
        <v>0.251</v>
      </c>
      <c r="G22" s="60">
        <v>0.245</v>
      </c>
      <c r="H22" s="58">
        <f t="shared" si="4"/>
        <v>-87.84</v>
      </c>
      <c r="I22" s="29">
        <f t="shared" si="4"/>
        <v>0</v>
      </c>
      <c r="J22" s="29">
        <f t="shared" si="4"/>
        <v>87.84</v>
      </c>
      <c r="K22" s="29">
        <f t="shared" si="4"/>
        <v>90.36</v>
      </c>
      <c r="L22" s="30">
        <f t="shared" si="4"/>
        <v>88.2</v>
      </c>
      <c r="M22" s="96">
        <f t="shared" si="5"/>
        <v>2.519999999999996</v>
      </c>
    </row>
    <row r="24" spans="1:13">
      <c r="A24" s="5" t="s">
        <v>30</v>
      </c>
    </row>
    <row r="25" spans="1:13">
      <c r="A25" s="5" t="s">
        <v>31</v>
      </c>
    </row>
    <row r="26" spans="1:13">
      <c r="A26" s="5" t="s">
        <v>32</v>
      </c>
    </row>
    <row r="111" spans="1:6" ht="15.75">
      <c r="A111" s="7" t="s">
        <v>48</v>
      </c>
    </row>
    <row r="112" spans="1:6">
      <c r="A112" s="36" t="s">
        <v>43</v>
      </c>
      <c r="C112" s="5">
        <v>60</v>
      </c>
      <c r="D112" s="5">
        <f>C112</f>
        <v>60</v>
      </c>
      <c r="E112" s="5">
        <f>D112</f>
        <v>60</v>
      </c>
      <c r="F112" s="36" t="s">
        <v>3</v>
      </c>
    </row>
    <row r="113" spans="1:7">
      <c r="A113" s="36" t="s">
        <v>35</v>
      </c>
      <c r="C113" s="5">
        <v>20</v>
      </c>
      <c r="D113" s="5">
        <f>C113</f>
        <v>20</v>
      </c>
      <c r="E113" s="5">
        <f>D113</f>
        <v>20</v>
      </c>
      <c r="F113" s="36" t="s">
        <v>4</v>
      </c>
    </row>
    <row r="114" spans="1:7">
      <c r="A114" s="36" t="s">
        <v>36</v>
      </c>
      <c r="C114" s="5">
        <v>26</v>
      </c>
      <c r="D114" s="5">
        <v>100</v>
      </c>
      <c r="E114" s="5">
        <v>250</v>
      </c>
    </row>
    <row r="115" spans="1:7" ht="14.25">
      <c r="A115" s="38" t="s">
        <v>37</v>
      </c>
      <c r="C115" s="40">
        <v>126</v>
      </c>
      <c r="D115" s="5">
        <v>1140</v>
      </c>
      <c r="E115" s="5">
        <f>D115</f>
        <v>1140</v>
      </c>
      <c r="F115" s="36" t="s">
        <v>5</v>
      </c>
      <c r="G115" s="36" t="s">
        <v>39</v>
      </c>
    </row>
    <row r="116" spans="1:7" ht="14.25">
      <c r="A116" s="38" t="s">
        <v>38</v>
      </c>
      <c r="C116" s="40">
        <v>40</v>
      </c>
      <c r="D116" s="5">
        <v>395</v>
      </c>
      <c r="E116" s="5">
        <f>D116</f>
        <v>395</v>
      </c>
      <c r="F116" s="36" t="s">
        <v>5</v>
      </c>
      <c r="G116" s="36" t="s">
        <v>40</v>
      </c>
    </row>
    <row r="117" spans="1:7">
      <c r="A117" s="37" t="s">
        <v>44</v>
      </c>
      <c r="B117" s="37"/>
      <c r="C117" s="39">
        <f>SQRT(C113*C115/(6*C114))</f>
        <v>4.0191847623425021</v>
      </c>
      <c r="D117" s="39">
        <f>SQRT(D113*D115/(6*D114))</f>
        <v>6.164414002968976</v>
      </c>
      <c r="E117" s="39">
        <f>SQRT(E113*E115/(6*E114))</f>
        <v>3.8987177379235853</v>
      </c>
      <c r="F117" s="37" t="s">
        <v>3</v>
      </c>
      <c r="G117" s="37" t="s">
        <v>41</v>
      </c>
    </row>
    <row r="118" spans="1:7">
      <c r="A118" s="37" t="s">
        <v>45</v>
      </c>
      <c r="B118" s="37"/>
      <c r="C118" s="39">
        <f>SQRT(C113*C116/(6*C114))</f>
        <v>2.2645540682891916</v>
      </c>
      <c r="D118" s="39">
        <f>SQRT(D113*D116/(6*D114))</f>
        <v>3.6285901761795403</v>
      </c>
      <c r="E118" s="39">
        <f>SQRT(E113*E116/(6*E114))</f>
        <v>2.2949219304078006</v>
      </c>
      <c r="F118" s="37" t="s">
        <v>3</v>
      </c>
      <c r="G118" s="37" t="s">
        <v>42</v>
      </c>
    </row>
    <row r="119" spans="1:7">
      <c r="A119" s="36" t="s">
        <v>46</v>
      </c>
      <c r="C119" s="33">
        <f>C112/C117</f>
        <v>14.928400545843578</v>
      </c>
      <c r="D119" s="33">
        <f>D112/D117</f>
        <v>9.7332852678457531</v>
      </c>
      <c r="E119" s="33">
        <f>E112/E117</f>
        <v>15.389675281277313</v>
      </c>
      <c r="F119" s="36" t="s">
        <v>49</v>
      </c>
    </row>
    <row r="120" spans="1:7">
      <c r="A120" s="36" t="s">
        <v>47</v>
      </c>
      <c r="C120" s="33">
        <f>C112/C118</f>
        <v>26.49528259898354</v>
      </c>
      <c r="D120" s="33">
        <f>D112/D118</f>
        <v>16.535347638286513</v>
      </c>
      <c r="E120" s="33">
        <f>E112/E118</f>
        <v>26.144680219835706</v>
      </c>
      <c r="F120" s="36" t="s">
        <v>49</v>
      </c>
    </row>
    <row r="121" spans="1:7">
      <c r="A121" s="41" t="s">
        <v>50</v>
      </c>
      <c r="B121" s="41"/>
      <c r="C121" s="41">
        <v>50</v>
      </c>
      <c r="D121" s="41">
        <f>C121</f>
        <v>50</v>
      </c>
      <c r="E121" s="41">
        <f>D121</f>
        <v>50</v>
      </c>
      <c r="F121" s="41" t="s">
        <v>3</v>
      </c>
      <c r="G121" s="41"/>
    </row>
    <row r="122" spans="1:7">
      <c r="A122" s="41" t="s">
        <v>51</v>
      </c>
      <c r="B122" s="41"/>
      <c r="C122" s="42">
        <f>C121/C117</f>
        <v>12.440333788202981</v>
      </c>
      <c r="D122" s="42">
        <f>D121/D117</f>
        <v>8.1110710565381279</v>
      </c>
      <c r="E122" s="42">
        <f>E121/E117</f>
        <v>12.824729401064427</v>
      </c>
      <c r="F122" s="41" t="s">
        <v>3</v>
      </c>
      <c r="G122" s="41" t="s">
        <v>53</v>
      </c>
    </row>
    <row r="123" spans="1:7">
      <c r="A123" s="41" t="s">
        <v>52</v>
      </c>
      <c r="B123" s="41"/>
      <c r="C123" s="42">
        <f>C121/C118</f>
        <v>22.079402165819616</v>
      </c>
      <c r="D123" s="42">
        <f>D121/D118</f>
        <v>13.77945636523876</v>
      </c>
      <c r="E123" s="42">
        <f>E121/E118</f>
        <v>21.787233516529756</v>
      </c>
      <c r="F123" s="41" t="s">
        <v>3</v>
      </c>
      <c r="G123" s="41" t="s">
        <v>54</v>
      </c>
    </row>
  </sheetData>
  <mergeCells count="2">
    <mergeCell ref="C7:G7"/>
    <mergeCell ref="H7:L7"/>
  </mergeCells>
  <phoneticPr fontId="6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workbookViewId="0"/>
  </sheetViews>
  <sheetFormatPr defaultRowHeight="12.75"/>
  <cols>
    <col min="1" max="1" width="39.6640625" customWidth="1"/>
    <col min="3" max="4" width="12.5" bestFit="1" customWidth="1"/>
  </cols>
  <sheetData>
    <row r="1" spans="1:12">
      <c r="A1" t="s">
        <v>85</v>
      </c>
    </row>
    <row r="3" spans="1:12" ht="15.75">
      <c r="A3" s="1" t="s">
        <v>65</v>
      </c>
    </row>
    <row r="4" spans="1:12">
      <c r="A4" s="44" t="s">
        <v>86</v>
      </c>
    </row>
    <row r="5" spans="1:12" ht="14.25">
      <c r="A5" t="s">
        <v>117</v>
      </c>
      <c r="B5" s="43" t="s">
        <v>80</v>
      </c>
      <c r="C5" s="48">
        <v>200000000000</v>
      </c>
    </row>
    <row r="6" spans="1:12" ht="14.25">
      <c r="A6" t="s">
        <v>78</v>
      </c>
      <c r="B6" s="43" t="s">
        <v>79</v>
      </c>
      <c r="C6" s="43">
        <v>15</v>
      </c>
    </row>
    <row r="7" spans="1:12">
      <c r="A7" t="s">
        <v>91</v>
      </c>
      <c r="B7" s="43" t="s">
        <v>81</v>
      </c>
      <c r="C7" s="86">
        <v>0.5</v>
      </c>
      <c r="D7" t="s">
        <v>99</v>
      </c>
    </row>
    <row r="8" spans="1:12">
      <c r="B8" s="43"/>
      <c r="C8" s="54"/>
    </row>
    <row r="9" spans="1:12" ht="14.25">
      <c r="A9" s="44"/>
      <c r="D9" s="68" t="s">
        <v>75</v>
      </c>
      <c r="E9" s="46" t="s">
        <v>76</v>
      </c>
      <c r="F9" s="73" t="s">
        <v>77</v>
      </c>
      <c r="G9" s="46" t="s">
        <v>82</v>
      </c>
      <c r="H9" s="46" t="s">
        <v>83</v>
      </c>
      <c r="I9" s="73" t="s">
        <v>84</v>
      </c>
      <c r="J9" s="43" t="s">
        <v>93</v>
      </c>
      <c r="K9" s="43" t="s">
        <v>92</v>
      </c>
      <c r="L9" s="75" t="s">
        <v>94</v>
      </c>
    </row>
    <row r="10" spans="1:12" ht="13.5" thickBot="1">
      <c r="A10" s="52"/>
      <c r="B10" s="52"/>
      <c r="C10" s="52"/>
      <c r="D10" s="69" t="s">
        <v>58</v>
      </c>
      <c r="E10" s="53" t="s">
        <v>58</v>
      </c>
      <c r="F10" s="74" t="s">
        <v>58</v>
      </c>
      <c r="G10" s="53" t="s">
        <v>59</v>
      </c>
      <c r="H10" s="53" t="s">
        <v>59</v>
      </c>
      <c r="I10" s="74" t="s">
        <v>80</v>
      </c>
      <c r="J10" s="53" t="s">
        <v>59</v>
      </c>
      <c r="K10" s="53" t="s">
        <v>59</v>
      </c>
      <c r="L10" s="83" t="s">
        <v>75</v>
      </c>
    </row>
    <row r="11" spans="1:12">
      <c r="A11" s="44" t="s">
        <v>95</v>
      </c>
      <c r="B11" s="50" t="s">
        <v>58</v>
      </c>
      <c r="C11" s="50">
        <v>10</v>
      </c>
      <c r="D11" s="68"/>
      <c r="E11" s="61"/>
      <c r="F11" s="75"/>
      <c r="G11" s="61"/>
      <c r="H11" s="61"/>
      <c r="I11" s="75"/>
      <c r="J11" s="61"/>
      <c r="L11" s="75"/>
    </row>
    <row r="12" spans="1:12">
      <c r="A12" t="s">
        <v>36</v>
      </c>
      <c r="B12" s="43" t="s">
        <v>80</v>
      </c>
      <c r="C12" s="43">
        <v>25</v>
      </c>
      <c r="D12" s="68"/>
      <c r="E12" s="61"/>
      <c r="F12" s="75"/>
      <c r="G12" s="61"/>
      <c r="H12" s="61"/>
      <c r="I12" s="75"/>
      <c r="J12" s="61"/>
      <c r="L12" s="75"/>
    </row>
    <row r="13" spans="1:12">
      <c r="A13" t="s">
        <v>97</v>
      </c>
      <c r="B13" s="43" t="s">
        <v>59</v>
      </c>
      <c r="C13" s="51">
        <f>SQRT(($C$6/C12)*(C11/6))</f>
        <v>1</v>
      </c>
      <c r="D13" s="68"/>
      <c r="E13" s="61"/>
      <c r="F13" s="75"/>
      <c r="G13" s="61"/>
      <c r="H13" s="61"/>
      <c r="I13" s="75"/>
      <c r="J13" s="61"/>
      <c r="L13" s="75"/>
    </row>
    <row r="14" spans="1:12">
      <c r="A14" t="s">
        <v>96</v>
      </c>
      <c r="B14" s="43" t="s">
        <v>81</v>
      </c>
      <c r="C14" s="51">
        <f>C13/C11</f>
        <v>0.1</v>
      </c>
      <c r="D14" s="68"/>
      <c r="E14" s="61"/>
      <c r="F14" s="75"/>
      <c r="G14" s="61"/>
      <c r="H14" s="61"/>
      <c r="I14" s="75"/>
      <c r="J14" s="61"/>
      <c r="L14" s="75"/>
    </row>
    <row r="15" spans="1:12">
      <c r="A15" t="s">
        <v>91</v>
      </c>
      <c r="B15" s="46" t="s">
        <v>98</v>
      </c>
      <c r="C15" s="54">
        <f>$C$7/C14</f>
        <v>5</v>
      </c>
      <c r="D15" s="68"/>
      <c r="E15" s="61"/>
      <c r="F15" s="75"/>
      <c r="G15" s="61"/>
      <c r="H15" s="61"/>
      <c r="I15" s="75"/>
      <c r="J15" s="61"/>
      <c r="L15" s="75"/>
    </row>
    <row r="16" spans="1:12">
      <c r="A16" t="s">
        <v>73</v>
      </c>
      <c r="D16" s="70">
        <f>3833.845/360</f>
        <v>10.649569444444444</v>
      </c>
      <c r="E16" s="49">
        <f>10+D16^2/10</f>
        <v>21.341332935204473</v>
      </c>
      <c r="F16" s="76">
        <f>E16</f>
        <v>21.341332935204473</v>
      </c>
      <c r="G16" s="47">
        <f t="shared" ref="G16:H18" si="0">SQRT(($C$6/$C$12)*(E16/6))</f>
        <v>1.4608673086630584</v>
      </c>
      <c r="H16" s="47">
        <f t="shared" si="0"/>
        <v>1.4608673086630584</v>
      </c>
      <c r="I16" s="63">
        <f>G16/H16</f>
        <v>1</v>
      </c>
      <c r="J16" s="47">
        <f>$C$7*D16</f>
        <v>5.3247847222222218</v>
      </c>
      <c r="K16" s="47">
        <f>J16</f>
        <v>5.3247847222222218</v>
      </c>
      <c r="L16" s="85">
        <f>J16/G16</f>
        <v>3.6449475531732611</v>
      </c>
    </row>
    <row r="17" spans="1:12">
      <c r="A17" t="s">
        <v>153</v>
      </c>
      <c r="D17" s="70">
        <v>28.5</v>
      </c>
      <c r="E17" s="49">
        <v>128</v>
      </c>
      <c r="F17" s="76">
        <v>62</v>
      </c>
      <c r="G17" s="47">
        <f t="shared" si="0"/>
        <v>3.5777087639996634</v>
      </c>
      <c r="H17" s="47">
        <f t="shared" si="0"/>
        <v>2.4899799195977463</v>
      </c>
      <c r="I17" s="63">
        <f>G17/H17</f>
        <v>1.4368424162141993</v>
      </c>
      <c r="J17" s="47">
        <f>$C$7*D17</f>
        <v>14.25</v>
      </c>
      <c r="K17" s="47">
        <f>J17</f>
        <v>14.25</v>
      </c>
      <c r="L17" s="85">
        <f>J17/G17</f>
        <v>3.9829960849215005</v>
      </c>
    </row>
    <row r="18" spans="1:12">
      <c r="A18" t="s">
        <v>154</v>
      </c>
      <c r="D18" s="70">
        <v>36.4</v>
      </c>
      <c r="E18" s="49">
        <v>51</v>
      </c>
      <c r="F18" s="76">
        <v>143</v>
      </c>
      <c r="G18" s="47">
        <f t="shared" si="0"/>
        <v>2.2583179581272428</v>
      </c>
      <c r="H18" s="47">
        <f t="shared" si="0"/>
        <v>3.7815340802378072</v>
      </c>
      <c r="I18" s="63">
        <f>G18/H18</f>
        <v>0.59719624634064528</v>
      </c>
      <c r="J18" s="47">
        <f>$C$7*D18</f>
        <v>18.2</v>
      </c>
      <c r="K18" s="47">
        <f>J18</f>
        <v>18.2</v>
      </c>
      <c r="L18" s="85">
        <f>J18/G18</f>
        <v>8.059095458414868</v>
      </c>
    </row>
    <row r="19" spans="1:12">
      <c r="A19" s="64" t="s">
        <v>74</v>
      </c>
      <c r="B19" s="64"/>
      <c r="C19" s="64"/>
      <c r="D19" s="71">
        <v>41</v>
      </c>
      <c r="E19" s="65">
        <v>40</v>
      </c>
      <c r="F19" s="77">
        <v>127</v>
      </c>
      <c r="G19" s="66">
        <f>SQRT(($C$12/$C$6)*(E19/6))</f>
        <v>3.3333333333333335</v>
      </c>
      <c r="H19" s="66">
        <f>SQRT(($C$12/$C$6)*(F19/6))</f>
        <v>5.9395098937351536</v>
      </c>
      <c r="I19" s="81">
        <f>G19/H19</f>
        <v>0.56121353326631374</v>
      </c>
      <c r="J19" s="66">
        <f>L19*G19</f>
        <v>12.149825177244205</v>
      </c>
      <c r="K19" s="66">
        <f>L19*H19</f>
        <v>21.649202054218325</v>
      </c>
      <c r="L19" s="82">
        <f>L16</f>
        <v>3.6449475531732611</v>
      </c>
    </row>
    <row r="20" spans="1:12">
      <c r="A20" s="44" t="s">
        <v>95</v>
      </c>
      <c r="B20" s="50" t="s">
        <v>58</v>
      </c>
      <c r="C20" s="84">
        <v>1</v>
      </c>
      <c r="D20" s="68"/>
      <c r="E20" s="47"/>
      <c r="F20" s="78"/>
      <c r="G20" s="51"/>
      <c r="I20" s="79"/>
      <c r="L20" s="79"/>
    </row>
    <row r="21" spans="1:12">
      <c r="A21" t="s">
        <v>36</v>
      </c>
      <c r="B21" s="43" t="s">
        <v>80</v>
      </c>
      <c r="C21" s="43">
        <v>106.6</v>
      </c>
      <c r="D21" s="68"/>
      <c r="E21" s="47"/>
      <c r="F21" s="78"/>
      <c r="G21" s="51"/>
      <c r="I21" s="79"/>
      <c r="L21" s="79"/>
    </row>
    <row r="22" spans="1:12">
      <c r="A22" t="s">
        <v>97</v>
      </c>
      <c r="B22" s="43" t="s">
        <v>59</v>
      </c>
      <c r="C22" s="51">
        <f>SQRT(($C$6/C21)*(C20/6))</f>
        <v>0.1531409729579222</v>
      </c>
      <c r="D22" s="68"/>
      <c r="E22" s="47"/>
      <c r="F22" s="78"/>
      <c r="G22" s="51"/>
      <c r="I22" s="79"/>
      <c r="L22" s="79"/>
    </row>
    <row r="23" spans="1:12">
      <c r="A23" t="s">
        <v>96</v>
      </c>
      <c r="B23" s="43" t="s">
        <v>81</v>
      </c>
      <c r="C23" s="51">
        <f>C22/C20</f>
        <v>0.1531409729579222</v>
      </c>
      <c r="D23" s="68"/>
      <c r="E23" s="47"/>
      <c r="F23" s="78"/>
      <c r="G23" s="51"/>
      <c r="I23" s="79"/>
      <c r="L23" s="79"/>
    </row>
    <row r="24" spans="1:12">
      <c r="A24" t="s">
        <v>91</v>
      </c>
      <c r="B24" s="46" t="s">
        <v>98</v>
      </c>
      <c r="C24" s="47">
        <f>$C$7/C23</f>
        <v>3.2649655434629019</v>
      </c>
      <c r="D24" s="68"/>
      <c r="E24" s="47"/>
      <c r="F24" s="78"/>
      <c r="G24" s="51"/>
      <c r="I24" s="79"/>
      <c r="L24" s="79"/>
    </row>
    <row r="25" spans="1:12">
      <c r="A25" t="s">
        <v>73</v>
      </c>
      <c r="D25" s="70">
        <f>3833.845/360</f>
        <v>10.649569444444444</v>
      </c>
      <c r="E25" s="49">
        <f>1+D25^2/1</f>
        <v>114.41332935204473</v>
      </c>
      <c r="F25" s="76">
        <f>E25</f>
        <v>114.41332935204473</v>
      </c>
      <c r="G25" s="47">
        <f t="shared" ref="G25:H28" si="1">SQRT(($C$6/$C$21)*(E25/6))</f>
        <v>1.6380596543878161</v>
      </c>
      <c r="H25" s="47">
        <f t="shared" si="1"/>
        <v>1.6380596543878161</v>
      </c>
      <c r="I25" s="63">
        <f>G25/H25</f>
        <v>1</v>
      </c>
      <c r="J25" s="47">
        <f>$C$7*D25</f>
        <v>5.3247847222222218</v>
      </c>
      <c r="K25" s="47">
        <f>J25</f>
        <v>5.3247847222222218</v>
      </c>
      <c r="L25" s="85">
        <f>J25/G25</f>
        <v>3.2506659375675957</v>
      </c>
    </row>
    <row r="26" spans="1:12">
      <c r="A26" t="s">
        <v>153</v>
      </c>
      <c r="B26" s="43"/>
      <c r="D26" s="70">
        <v>28.5</v>
      </c>
      <c r="E26" s="49">
        <v>1155</v>
      </c>
      <c r="F26" s="76">
        <v>553</v>
      </c>
      <c r="G26" s="47">
        <f t="shared" si="1"/>
        <v>5.2045405201868125</v>
      </c>
      <c r="H26" s="47">
        <f t="shared" si="1"/>
        <v>3.601255774305677</v>
      </c>
      <c r="I26" s="63">
        <f>G26/H26</f>
        <v>1.4452015758836927</v>
      </c>
      <c r="J26" s="47">
        <f>$C$7*D26</f>
        <v>14.25</v>
      </c>
      <c r="K26" s="47">
        <f>J26</f>
        <v>14.25</v>
      </c>
      <c r="L26" s="85">
        <f>J26/G26</f>
        <v>2.7379938622302258</v>
      </c>
    </row>
    <row r="27" spans="1:12">
      <c r="A27" t="s">
        <v>154</v>
      </c>
      <c r="B27" s="43"/>
      <c r="D27" s="70">
        <v>36.4</v>
      </c>
      <c r="E27" s="49">
        <v>482</v>
      </c>
      <c r="F27" s="76">
        <v>1302</v>
      </c>
      <c r="G27" s="47">
        <f t="shared" si="1"/>
        <v>3.3621332457944835</v>
      </c>
      <c r="H27" s="47">
        <f t="shared" si="1"/>
        <v>5.5258220377827749</v>
      </c>
      <c r="I27" s="63">
        <f>G27/H27</f>
        <v>0.60844037734221579</v>
      </c>
      <c r="J27" s="47">
        <f>$C$7*D27</f>
        <v>18.2</v>
      </c>
      <c r="K27" s="47">
        <f>J27</f>
        <v>18.2</v>
      </c>
      <c r="L27" s="85">
        <f>J27/G27</f>
        <v>5.4132298363741018</v>
      </c>
    </row>
    <row r="28" spans="1:12">
      <c r="A28" s="64" t="s">
        <v>74</v>
      </c>
      <c r="B28" s="64"/>
      <c r="C28" s="64"/>
      <c r="D28" s="71">
        <v>41</v>
      </c>
      <c r="E28" s="65">
        <v>395</v>
      </c>
      <c r="F28" s="77">
        <v>1143</v>
      </c>
      <c r="G28" s="62">
        <f t="shared" si="1"/>
        <v>3.043616640020081</v>
      </c>
      <c r="H28" s="66">
        <f t="shared" si="1"/>
        <v>5.1774333539973671</v>
      </c>
      <c r="I28" s="81">
        <f>G28/H28</f>
        <v>0.58786206058455215</v>
      </c>
      <c r="J28" s="66">
        <f>L28*G28</f>
        <v>9.8937809387272129</v>
      </c>
      <c r="K28" s="66">
        <f>L28*H28</f>
        <v>16.830106247865594</v>
      </c>
      <c r="L28" s="82">
        <f>L25</f>
        <v>3.2506659375675957</v>
      </c>
    </row>
    <row r="29" spans="1:12">
      <c r="A29" s="44" t="s">
        <v>95</v>
      </c>
      <c r="B29" s="50" t="s">
        <v>58</v>
      </c>
      <c r="C29" s="84">
        <v>0.5</v>
      </c>
      <c r="D29" s="72"/>
      <c r="F29" s="79"/>
      <c r="I29" s="79"/>
      <c r="L29" s="79"/>
    </row>
    <row r="30" spans="1:12">
      <c r="A30" t="s">
        <v>36</v>
      </c>
      <c r="B30" s="43" t="s">
        <v>80</v>
      </c>
      <c r="C30" s="55">
        <v>266.5</v>
      </c>
      <c r="D30" s="72"/>
      <c r="F30" s="79"/>
      <c r="I30" s="79"/>
      <c r="L30" s="79"/>
    </row>
    <row r="31" spans="1:12">
      <c r="A31" t="s">
        <v>97</v>
      </c>
      <c r="B31" s="43" t="s">
        <v>59</v>
      </c>
      <c r="C31" s="51">
        <f>SQRT(($C$6/C30)*(C29/6))</f>
        <v>6.8486725134874221E-2</v>
      </c>
      <c r="D31" s="72"/>
      <c r="F31" s="79"/>
      <c r="G31" s="51"/>
      <c r="I31" s="79"/>
      <c r="L31" s="79"/>
    </row>
    <row r="32" spans="1:12">
      <c r="A32" t="s">
        <v>96</v>
      </c>
      <c r="B32" s="43" t="s">
        <v>81</v>
      </c>
      <c r="C32" s="51">
        <f>C31/C29</f>
        <v>0.13697345026974844</v>
      </c>
      <c r="D32" s="72"/>
      <c r="F32" s="79"/>
      <c r="I32" s="79"/>
      <c r="L32" s="79"/>
    </row>
    <row r="33" spans="1:12">
      <c r="A33" t="s">
        <v>91</v>
      </c>
      <c r="B33" s="46" t="s">
        <v>98</v>
      </c>
      <c r="C33" s="47">
        <f>$C$7/C32</f>
        <v>3.6503424496887962</v>
      </c>
      <c r="D33" s="72"/>
      <c r="F33" s="79"/>
      <c r="I33" s="79"/>
      <c r="L33" s="79"/>
    </row>
    <row r="34" spans="1:12">
      <c r="A34" t="s">
        <v>73</v>
      </c>
      <c r="D34" s="70">
        <v>10.6</v>
      </c>
      <c r="E34" s="49">
        <f>0.5+D34^2/0.5</f>
        <v>225.22</v>
      </c>
      <c r="F34" s="76">
        <f>E34</f>
        <v>225.22</v>
      </c>
      <c r="G34" s="47">
        <f>SQRT(($C$6/$C$30)*(E34/6))</f>
        <v>1.4535329283279357</v>
      </c>
      <c r="H34" s="47">
        <f>SQRT(($C$6/$C$30)*(F34/6))</f>
        <v>1.4535329283279357</v>
      </c>
      <c r="I34" s="63">
        <f>G34/H34</f>
        <v>1</v>
      </c>
      <c r="J34" s="47">
        <f>$C$7*D34</f>
        <v>5.3</v>
      </c>
      <c r="K34" s="47">
        <f>J34</f>
        <v>5.3</v>
      </c>
      <c r="L34" s="85">
        <f>J34/G34</f>
        <v>3.646288224166224</v>
      </c>
    </row>
    <row r="35" spans="1:12">
      <c r="A35" s="64" t="s">
        <v>74</v>
      </c>
      <c r="B35" s="64"/>
      <c r="C35" s="64"/>
      <c r="D35" s="71">
        <v>41</v>
      </c>
      <c r="E35" s="67">
        <v>640</v>
      </c>
      <c r="F35" s="80">
        <v>1860</v>
      </c>
      <c r="G35" s="62">
        <f>SQRT(($C$6/$C$30)*(E35/6))</f>
        <v>2.4502555673267552</v>
      </c>
      <c r="H35" s="66">
        <f>SQRT(($C$6/$C$30)*(F35/6))</f>
        <v>4.1771288289066808</v>
      </c>
      <c r="I35" s="81">
        <f>G35/H35</f>
        <v>0.58658846008541321</v>
      </c>
      <c r="J35" s="66">
        <f>L35*G35</f>
        <v>8.9343380213412775</v>
      </c>
      <c r="K35" s="66">
        <f>L35*H35</f>
        <v>15.23101565966768</v>
      </c>
      <c r="L35" s="82">
        <f>L34</f>
        <v>3.646288224166224</v>
      </c>
    </row>
    <row r="36" spans="1:12">
      <c r="B36" s="43"/>
      <c r="C36" s="43"/>
      <c r="D36" s="43"/>
      <c r="E36" s="47"/>
      <c r="F36" s="47"/>
      <c r="G36" s="51"/>
    </row>
    <row r="37" spans="1:12">
      <c r="B37" s="43"/>
      <c r="C37" s="43"/>
      <c r="D37" s="43"/>
      <c r="E37" s="47"/>
      <c r="F37" s="47"/>
      <c r="G37" s="51"/>
    </row>
    <row r="38" spans="1:12" ht="15.75">
      <c r="A38" s="1" t="s">
        <v>131</v>
      </c>
    </row>
    <row r="39" spans="1:12">
      <c r="A39" s="45" t="s">
        <v>55</v>
      </c>
    </row>
    <row r="41" spans="1:12">
      <c r="A41" s="44" t="s">
        <v>56</v>
      </c>
    </row>
    <row r="42" spans="1:12" ht="14.25">
      <c r="A42" t="s">
        <v>118</v>
      </c>
      <c r="B42" s="43" t="s">
        <v>116</v>
      </c>
      <c r="C42" s="43">
        <f>C5*1.6E-19*300000000</f>
        <v>9.5999999999999979</v>
      </c>
      <c r="D42" t="s">
        <v>119</v>
      </c>
    </row>
    <row r="43" spans="1:12">
      <c r="A43" t="s">
        <v>127</v>
      </c>
      <c r="B43" s="43" t="s">
        <v>116</v>
      </c>
      <c r="C43" s="43">
        <v>125</v>
      </c>
      <c r="D43" t="s">
        <v>120</v>
      </c>
    </row>
    <row r="44" spans="1:12">
      <c r="A44" t="s">
        <v>63</v>
      </c>
      <c r="B44" s="43" t="s">
        <v>58</v>
      </c>
      <c r="C44" s="43">
        <v>2.5</v>
      </c>
    </row>
    <row r="45" spans="1:12">
      <c r="A45" t="s">
        <v>125</v>
      </c>
      <c r="B45" s="43" t="s">
        <v>59</v>
      </c>
      <c r="C45" s="47">
        <v>3.5</v>
      </c>
    </row>
    <row r="46" spans="1:12">
      <c r="A46" t="s">
        <v>135</v>
      </c>
      <c r="B46" s="43" t="s">
        <v>80</v>
      </c>
      <c r="C46" s="49">
        <v>3</v>
      </c>
      <c r="D46" t="s">
        <v>137</v>
      </c>
    </row>
    <row r="47" spans="1:12" ht="14.25">
      <c r="A47" t="s">
        <v>134</v>
      </c>
      <c r="B47" s="46" t="s">
        <v>60</v>
      </c>
      <c r="C47" s="48">
        <v>1.7199999999999999E-8</v>
      </c>
      <c r="D47" t="s">
        <v>67</v>
      </c>
    </row>
    <row r="48" spans="1:12" ht="15.75">
      <c r="A48" t="s">
        <v>62</v>
      </c>
      <c r="B48" s="43" t="s">
        <v>72</v>
      </c>
      <c r="C48" s="43">
        <v>384</v>
      </c>
      <c r="D48" t="s">
        <v>70</v>
      </c>
    </row>
    <row r="49" spans="1:4" ht="16.5">
      <c r="A49" t="s">
        <v>87</v>
      </c>
      <c r="B49" s="43" t="s">
        <v>66</v>
      </c>
      <c r="C49" s="48">
        <v>8960</v>
      </c>
      <c r="D49" t="s">
        <v>67</v>
      </c>
    </row>
    <row r="50" spans="1:4" ht="15.75">
      <c r="A50" t="s">
        <v>88</v>
      </c>
      <c r="B50" s="43" t="s">
        <v>89</v>
      </c>
      <c r="C50" s="48">
        <v>1.6799999999999998E-5</v>
      </c>
      <c r="D50" t="s">
        <v>90</v>
      </c>
    </row>
    <row r="51" spans="1:4">
      <c r="A51" t="s">
        <v>113</v>
      </c>
      <c r="B51" s="43" t="s">
        <v>115</v>
      </c>
      <c r="C51" s="43">
        <v>1083</v>
      </c>
      <c r="D51" t="s">
        <v>114</v>
      </c>
    </row>
    <row r="52" spans="1:4" ht="15.75">
      <c r="A52" t="s">
        <v>109</v>
      </c>
      <c r="B52" s="43" t="s">
        <v>105</v>
      </c>
      <c r="C52" s="48">
        <v>5.6699999999999998E-8</v>
      </c>
    </row>
    <row r="53" spans="1:4">
      <c r="A53" t="s">
        <v>107</v>
      </c>
      <c r="B53" s="43" t="s">
        <v>80</v>
      </c>
      <c r="C53" s="51">
        <v>0.03</v>
      </c>
      <c r="D53" t="s">
        <v>106</v>
      </c>
    </row>
    <row r="54" spans="1:4" ht="14.25">
      <c r="A54" t="s">
        <v>108</v>
      </c>
      <c r="B54" s="43" t="s">
        <v>69</v>
      </c>
      <c r="C54" s="49">
        <v>293</v>
      </c>
    </row>
    <row r="55" spans="1:4">
      <c r="A55" s="44" t="s">
        <v>61</v>
      </c>
    </row>
    <row r="56" spans="1:4">
      <c r="A56" t="s">
        <v>132</v>
      </c>
      <c r="B56" s="43" t="s">
        <v>57</v>
      </c>
      <c r="C56" s="47">
        <f>C42/C44</f>
        <v>3.839999999999999</v>
      </c>
    </row>
    <row r="57" spans="1:4">
      <c r="A57" t="s">
        <v>133</v>
      </c>
      <c r="B57" s="43" t="s">
        <v>57</v>
      </c>
      <c r="C57" s="47">
        <f>C43/C44</f>
        <v>50</v>
      </c>
    </row>
    <row r="58" spans="1:4">
      <c r="A58" t="s">
        <v>100</v>
      </c>
      <c r="B58" s="87" t="s">
        <v>102</v>
      </c>
      <c r="C58" s="51">
        <f>1000*C47*C44/(PI()*(C45*0.001)^2)</f>
        <v>1.117332661706367</v>
      </c>
    </row>
    <row r="59" spans="1:4">
      <c r="A59" t="s">
        <v>101</v>
      </c>
      <c r="B59" s="43" t="s">
        <v>103</v>
      </c>
      <c r="C59" s="47">
        <f>C58*C57</f>
        <v>55.866633085318348</v>
      </c>
      <c r="D59" s="4"/>
    </row>
    <row r="60" spans="1:4">
      <c r="A60" t="s">
        <v>110</v>
      </c>
      <c r="B60" s="43" t="s">
        <v>64</v>
      </c>
      <c r="C60" s="54">
        <f>C47*C44*C57^2/(PI()*(C45*0.001)^2)</f>
        <v>2.7933316542659172</v>
      </c>
    </row>
    <row r="61" spans="1:4" ht="14.25">
      <c r="A61" s="88" t="s">
        <v>71</v>
      </c>
      <c r="B61" s="89" t="s">
        <v>69</v>
      </c>
      <c r="C61" s="90">
        <f>(1/(8*PI()^2)*(C47/C48)*((C44/(C46-1))^2/(C45*0.001)^4)*C57^2)</f>
        <v>14.767104474632026</v>
      </c>
      <c r="D61" t="s">
        <v>136</v>
      </c>
    </row>
    <row r="62" spans="1:4">
      <c r="A62" t="s">
        <v>126</v>
      </c>
      <c r="B62" s="43" t="s">
        <v>59</v>
      </c>
      <c r="C62" s="54">
        <f>(2/3)*C50*C44*C61*1000</f>
        <v>0.41347892528969665</v>
      </c>
      <c r="D62" t="s">
        <v>104</v>
      </c>
    </row>
    <row r="63" spans="1:4">
      <c r="A63" t="s">
        <v>130</v>
      </c>
      <c r="B63" s="43" t="s">
        <v>68</v>
      </c>
      <c r="C63" s="86">
        <f>PI()*(C45*0.001)^2*C44*C49</f>
        <v>0.86205302414503937</v>
      </c>
    </row>
    <row r="64" spans="1:4" ht="14.25">
      <c r="A64" t="s">
        <v>112</v>
      </c>
      <c r="B64" s="43" t="s">
        <v>64</v>
      </c>
      <c r="C64" s="86">
        <f>C53*C52*(2*C45)*0.001*((C54+C61)^4-C54^4)</f>
        <v>1.9074293412024903E-2</v>
      </c>
      <c r="D64" t="s">
        <v>111</v>
      </c>
    </row>
    <row r="65" spans="1:4">
      <c r="A65" t="s">
        <v>121</v>
      </c>
      <c r="B65" s="43" t="s">
        <v>59</v>
      </c>
      <c r="C65" s="47">
        <f>3*H25</f>
        <v>4.9141789631634483</v>
      </c>
      <c r="D65" t="s">
        <v>123</v>
      </c>
    </row>
    <row r="66" spans="1:4">
      <c r="A66" t="s">
        <v>122</v>
      </c>
      <c r="B66" s="43" t="s">
        <v>59</v>
      </c>
      <c r="C66" s="49">
        <f>60+C45</f>
        <v>63.5</v>
      </c>
      <c r="D66" t="s">
        <v>124</v>
      </c>
    </row>
    <row r="67" spans="1:4">
      <c r="A67" t="s">
        <v>122</v>
      </c>
      <c r="B67" s="46" t="s">
        <v>75</v>
      </c>
      <c r="C67" s="47">
        <f>C66/H28</f>
        <v>12.264764345247096</v>
      </c>
      <c r="D67" s="97" t="s">
        <v>138</v>
      </c>
    </row>
  </sheetData>
  <phoneticPr fontId="0" type="noConversion"/>
  <hyperlinks>
    <hyperlink ref="A39" r:id="rId1" display="http://cern-ab-bblr.web.cern.ch/cern-ab-bblr/note2.pdf"/>
  </hyperlinks>
  <pageMargins left="0.75" right="0.75" top="1" bottom="1" header="0.5" footer="0.5"/>
  <pageSetup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A4" sqref="A4"/>
    </sheetView>
  </sheetViews>
  <sheetFormatPr defaultRowHeight="12.75"/>
  <cols>
    <col min="1" max="3" width="12.83203125" customWidth="1"/>
    <col min="4" max="4" width="6" customWidth="1"/>
    <col min="5" max="7" width="12.83203125" customWidth="1"/>
  </cols>
  <sheetData>
    <row r="1" spans="1:7">
      <c r="A1" t="s">
        <v>139</v>
      </c>
    </row>
    <row r="3" spans="1:7">
      <c r="A3" t="s">
        <v>140</v>
      </c>
    </row>
    <row r="5" spans="1:7">
      <c r="A5" s="160" t="s">
        <v>1</v>
      </c>
      <c r="B5" s="160"/>
      <c r="C5" s="160"/>
      <c r="E5" s="160" t="s">
        <v>0</v>
      </c>
      <c r="F5" s="160"/>
      <c r="G5" s="160"/>
    </row>
    <row r="6" spans="1:7">
      <c r="A6" s="3" t="s">
        <v>10</v>
      </c>
      <c r="E6" s="3" t="s">
        <v>10</v>
      </c>
    </row>
    <row r="7" spans="1:7">
      <c r="A7" s="3" t="s">
        <v>2</v>
      </c>
      <c r="E7" s="3" t="s">
        <v>2</v>
      </c>
    </row>
    <row r="8" spans="1:7">
      <c r="A8" s="3" t="s">
        <v>141</v>
      </c>
      <c r="B8" s="3" t="s">
        <v>142</v>
      </c>
      <c r="C8" s="3" t="s">
        <v>143</v>
      </c>
      <c r="E8" s="3" t="s">
        <v>141</v>
      </c>
      <c r="F8" s="3" t="s">
        <v>144</v>
      </c>
      <c r="G8" s="3" t="s">
        <v>145</v>
      </c>
    </row>
    <row r="9" spans="1:7">
      <c r="A9" s="3" t="s">
        <v>147</v>
      </c>
      <c r="B9" s="3" t="s">
        <v>149</v>
      </c>
      <c r="C9" s="3" t="s">
        <v>146</v>
      </c>
      <c r="E9" s="3" t="s">
        <v>147</v>
      </c>
      <c r="F9" s="3" t="s">
        <v>149</v>
      </c>
      <c r="G9" s="3" t="s">
        <v>146</v>
      </c>
    </row>
    <row r="10" spans="1:7">
      <c r="A10" s="3" t="s">
        <v>148</v>
      </c>
      <c r="B10" s="3" t="s">
        <v>150</v>
      </c>
      <c r="C10" s="3" t="s">
        <v>151</v>
      </c>
      <c r="E10" s="3" t="s">
        <v>148</v>
      </c>
      <c r="F10" s="3" t="s">
        <v>150</v>
      </c>
      <c r="G10" s="3" t="s">
        <v>151</v>
      </c>
    </row>
    <row r="11" spans="1:7" ht="13.5" thickBot="1">
      <c r="A11" s="2" t="s">
        <v>3</v>
      </c>
      <c r="B11" s="2" t="s">
        <v>3</v>
      </c>
      <c r="C11" s="2" t="s">
        <v>3</v>
      </c>
      <c r="E11" s="2" t="s">
        <v>3</v>
      </c>
      <c r="F11" s="2" t="s">
        <v>3</v>
      </c>
      <c r="G11" s="2" t="s">
        <v>3</v>
      </c>
    </row>
    <row r="12" spans="1:7">
      <c r="A12">
        <v>-17</v>
      </c>
      <c r="B12" s="98">
        <v>-13.698</v>
      </c>
      <c r="C12" s="98">
        <v>-1.4430000000000001</v>
      </c>
      <c r="E12">
        <v>-17</v>
      </c>
      <c r="F12" s="98">
        <v>-19.393000000000001</v>
      </c>
      <c r="G12" s="98">
        <v>-2.5449999999999999</v>
      </c>
    </row>
    <row r="13" spans="1:7">
      <c r="A13">
        <v>-15</v>
      </c>
      <c r="B13" s="98">
        <v>-12.081</v>
      </c>
      <c r="C13" s="98">
        <v>-1.276</v>
      </c>
      <c r="E13">
        <v>-15</v>
      </c>
      <c r="F13" s="98">
        <v>-15.093</v>
      </c>
      <c r="G13" s="98">
        <v>-2.0209999999999999</v>
      </c>
    </row>
    <row r="14" spans="1:7">
      <c r="A14">
        <v>-10</v>
      </c>
      <c r="B14" s="98">
        <v>-8.0399999999999991</v>
      </c>
      <c r="C14" s="98">
        <v>-0.93799999999999994</v>
      </c>
      <c r="E14">
        <v>-10</v>
      </c>
      <c r="F14" s="98">
        <v>-10.794</v>
      </c>
      <c r="G14" s="98">
        <v>-1.4970000000000001</v>
      </c>
    </row>
    <row r="15" spans="1:7">
      <c r="A15">
        <v>-5</v>
      </c>
      <c r="B15" s="98">
        <v>-3.9940000000000002</v>
      </c>
      <c r="C15" s="98">
        <v>-0.443</v>
      </c>
      <c r="E15">
        <v>-5</v>
      </c>
      <c r="F15" s="98">
        <v>-6.4939999999999998</v>
      </c>
      <c r="G15" s="98">
        <v>-0.97199999999999998</v>
      </c>
    </row>
    <row r="16" spans="1:7">
      <c r="A16">
        <v>0</v>
      </c>
      <c r="B16" s="98">
        <v>4.2999999999999997E-2</v>
      </c>
      <c r="C16" s="98">
        <v>-2.5999999999999999E-2</v>
      </c>
      <c r="E16">
        <v>0</v>
      </c>
      <c r="F16" s="98">
        <v>-2.194</v>
      </c>
      <c r="G16" s="98">
        <v>-0.44800000000000001</v>
      </c>
    </row>
    <row r="17" spans="1:7">
      <c r="A17">
        <v>5</v>
      </c>
      <c r="B17" s="98">
        <v>4.0839999999999996</v>
      </c>
      <c r="C17" s="98">
        <v>0.39100000000000001</v>
      </c>
      <c r="E17">
        <v>5</v>
      </c>
      <c r="F17" s="98">
        <v>2.105</v>
      </c>
      <c r="G17" s="98">
        <v>7.5999999999999998E-2</v>
      </c>
    </row>
    <row r="18" spans="1:7">
      <c r="A18">
        <v>10</v>
      </c>
      <c r="B18" s="98">
        <v>8.1259999999999994</v>
      </c>
      <c r="C18" s="98">
        <v>8.7999999999999995E-2</v>
      </c>
      <c r="E18">
        <v>10</v>
      </c>
      <c r="F18" s="98">
        <v>6.4050000000000002</v>
      </c>
      <c r="G18" s="98">
        <v>0.6</v>
      </c>
    </row>
    <row r="19" spans="1:7">
      <c r="A19">
        <v>15</v>
      </c>
      <c r="B19" s="98">
        <v>12.167</v>
      </c>
      <c r="C19" s="98">
        <v>1.224</v>
      </c>
      <c r="E19">
        <v>15</v>
      </c>
      <c r="F19" s="98">
        <v>10.704000000000001</v>
      </c>
      <c r="G19" s="98">
        <v>1.1240000000000001</v>
      </c>
    </row>
    <row r="20" spans="1:7">
      <c r="A20">
        <v>20</v>
      </c>
      <c r="B20" s="98">
        <v>16.207999999999998</v>
      </c>
      <c r="C20" s="98">
        <v>1.641</v>
      </c>
      <c r="E20">
        <v>20</v>
      </c>
      <c r="F20" s="98">
        <v>15.004</v>
      </c>
      <c r="G20" s="98">
        <v>1.6479999999999999</v>
      </c>
    </row>
  </sheetData>
  <mergeCells count="2">
    <mergeCell ref="A5:C5"/>
    <mergeCell ref="E5:G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9"/>
  <sheetViews>
    <sheetView tabSelected="1" workbookViewId="0">
      <pane xSplit="2" ySplit="5" topLeftCell="R6" activePane="bottomRight" state="frozen"/>
      <selection pane="topRight" activeCell="C1" sqref="C1"/>
      <selection pane="bottomLeft" activeCell="A6" sqref="A6"/>
      <selection pane="bottomRight" activeCell="X11" sqref="X11"/>
    </sheetView>
  </sheetViews>
  <sheetFormatPr defaultRowHeight="12.75"/>
  <cols>
    <col min="1" max="1" width="9.5" bestFit="1" customWidth="1"/>
    <col min="5" max="5" width="12.33203125" customWidth="1"/>
    <col min="7" max="7" width="15.83203125" customWidth="1"/>
    <col min="8" max="11" width="8.83203125" customWidth="1"/>
    <col min="12" max="13" width="15.83203125" customWidth="1"/>
    <col min="14" max="14" width="25.83203125" customWidth="1"/>
  </cols>
  <sheetData>
    <row r="1" spans="1:33">
      <c r="A1" t="s">
        <v>155</v>
      </c>
    </row>
    <row r="3" spans="1:33" ht="15.75">
      <c r="A3" s="1" t="s">
        <v>156</v>
      </c>
      <c r="H3" s="161" t="s">
        <v>1</v>
      </c>
      <c r="I3" s="161"/>
      <c r="J3" s="161" t="s">
        <v>0</v>
      </c>
      <c r="K3" s="161"/>
    </row>
    <row r="4" spans="1:33" ht="15.75">
      <c r="H4" s="128" t="s">
        <v>200</v>
      </c>
      <c r="I4" s="128" t="s">
        <v>201</v>
      </c>
      <c r="J4" s="128" t="s">
        <v>200</v>
      </c>
      <c r="K4" s="128" t="s">
        <v>201</v>
      </c>
      <c r="U4" s="161" t="s">
        <v>197</v>
      </c>
      <c r="V4" s="161"/>
      <c r="W4" s="161"/>
      <c r="X4" s="75" t="s">
        <v>204</v>
      </c>
      <c r="Y4" s="161" t="s">
        <v>198</v>
      </c>
      <c r="Z4" s="161"/>
      <c r="AA4" s="161"/>
      <c r="AB4" s="75" t="s">
        <v>204</v>
      </c>
      <c r="AC4" s="55"/>
      <c r="AD4" s="146" t="s">
        <v>200</v>
      </c>
      <c r="AE4" s="146" t="s">
        <v>201</v>
      </c>
      <c r="AF4" s="55" t="s">
        <v>206</v>
      </c>
      <c r="AG4" s="55"/>
    </row>
    <row r="5" spans="1:33" ht="16.5" thickBot="1">
      <c r="A5" s="53" t="s">
        <v>157</v>
      </c>
      <c r="B5" s="53" t="s">
        <v>158</v>
      </c>
      <c r="C5" s="53" t="s">
        <v>168</v>
      </c>
      <c r="D5" s="53" t="s">
        <v>160</v>
      </c>
      <c r="E5" s="53" t="s">
        <v>159</v>
      </c>
      <c r="F5" s="53" t="s">
        <v>162</v>
      </c>
      <c r="G5" s="53" t="s">
        <v>171</v>
      </c>
      <c r="H5" s="53" t="s">
        <v>202</v>
      </c>
      <c r="I5" s="53" t="s">
        <v>202</v>
      </c>
      <c r="J5" s="53" t="s">
        <v>202</v>
      </c>
      <c r="K5" s="53" t="s">
        <v>202</v>
      </c>
      <c r="L5" s="53" t="s">
        <v>163</v>
      </c>
      <c r="M5" s="53" t="s">
        <v>183</v>
      </c>
      <c r="N5" s="53" t="s">
        <v>184</v>
      </c>
      <c r="U5" s="65" t="s">
        <v>203</v>
      </c>
      <c r="V5" s="65" t="s">
        <v>196</v>
      </c>
      <c r="W5" s="65" t="s">
        <v>195</v>
      </c>
      <c r="X5" s="75" t="s">
        <v>205</v>
      </c>
      <c r="Y5" s="65" t="s">
        <v>203</v>
      </c>
      <c r="Z5" s="65" t="s">
        <v>196</v>
      </c>
      <c r="AA5" s="65" t="s">
        <v>195</v>
      </c>
      <c r="AB5" s="75" t="s">
        <v>205</v>
      </c>
      <c r="AC5" s="55"/>
      <c r="AD5" s="53" t="s">
        <v>202</v>
      </c>
      <c r="AE5" s="53" t="s">
        <v>202</v>
      </c>
      <c r="AF5" s="148"/>
      <c r="AG5" s="55"/>
    </row>
    <row r="6" spans="1:33">
      <c r="A6" s="102">
        <v>38470</v>
      </c>
      <c r="B6" s="43">
        <v>6981</v>
      </c>
      <c r="C6" s="43" t="s">
        <v>169</v>
      </c>
      <c r="D6" s="43">
        <v>1</v>
      </c>
      <c r="E6" s="43" t="s">
        <v>161</v>
      </c>
      <c r="F6" s="108">
        <v>25.963000000000001</v>
      </c>
      <c r="G6" s="106" t="s">
        <v>172</v>
      </c>
      <c r="H6" s="131">
        <v>0.73309999999999997</v>
      </c>
      <c r="I6" s="131">
        <v>0.72230000000000005</v>
      </c>
      <c r="J6" s="131">
        <v>0.72670000000000001</v>
      </c>
      <c r="K6" s="131">
        <v>0.72340000000000004</v>
      </c>
      <c r="L6" s="43" t="s">
        <v>24</v>
      </c>
      <c r="M6" s="54">
        <f>110000000000*1.6E-19*300000000</f>
        <v>5.2799999999999994</v>
      </c>
      <c r="N6" s="43" t="s">
        <v>185</v>
      </c>
      <c r="O6" t="s">
        <v>199</v>
      </c>
      <c r="X6" s="79"/>
      <c r="AB6" s="79"/>
      <c r="AC6" s="129"/>
      <c r="AD6" s="149"/>
      <c r="AE6" s="149"/>
      <c r="AF6" s="129"/>
      <c r="AG6" s="129"/>
    </row>
    <row r="7" spans="1:33">
      <c r="A7" s="102">
        <v>38470</v>
      </c>
      <c r="B7" s="43">
        <v>6981</v>
      </c>
      <c r="C7" s="43" t="s">
        <v>169</v>
      </c>
      <c r="D7" s="43">
        <v>2</v>
      </c>
      <c r="E7" s="43" t="s">
        <v>161</v>
      </c>
      <c r="F7" s="108">
        <f>F6</f>
        <v>25.963000000000001</v>
      </c>
      <c r="G7" s="106" t="s">
        <v>172</v>
      </c>
      <c r="H7" s="131">
        <v>0.73509999999999998</v>
      </c>
      <c r="I7" s="131">
        <v>0.72230000000000005</v>
      </c>
      <c r="J7" s="131">
        <v>0.72819999999999996</v>
      </c>
      <c r="K7" s="131">
        <v>0.72330000000000005</v>
      </c>
      <c r="L7" s="43" t="s">
        <v>24</v>
      </c>
      <c r="M7" s="54">
        <f>120000000000*1.6E-19*300000000</f>
        <v>5.76</v>
      </c>
      <c r="N7" s="43" t="s">
        <v>185</v>
      </c>
      <c r="O7" s="129" t="s">
        <v>199</v>
      </c>
      <c r="X7" s="79"/>
      <c r="AB7" s="79"/>
      <c r="AC7" s="129"/>
      <c r="AD7" s="129"/>
      <c r="AE7" s="129"/>
      <c r="AF7" s="129"/>
      <c r="AG7" s="129"/>
    </row>
    <row r="8" spans="1:33">
      <c r="A8" s="102">
        <v>38470</v>
      </c>
      <c r="B8" s="43">
        <v>6981</v>
      </c>
      <c r="C8" s="43" t="s">
        <v>169</v>
      </c>
      <c r="D8" s="43">
        <v>3</v>
      </c>
      <c r="E8" s="43" t="s">
        <v>161</v>
      </c>
      <c r="F8" s="108">
        <f>F7</f>
        <v>25.963000000000001</v>
      </c>
      <c r="G8" s="106" t="s">
        <v>172</v>
      </c>
      <c r="H8" s="131">
        <v>0.73829999999999996</v>
      </c>
      <c r="I8" s="131">
        <v>0.72470000000000001</v>
      </c>
      <c r="J8" s="131">
        <v>0.72709999999999997</v>
      </c>
      <c r="K8" s="131">
        <v>0.7218</v>
      </c>
      <c r="L8" s="43" t="s">
        <v>164</v>
      </c>
      <c r="M8" s="54">
        <f>180000000000*1.6E-19*300000000</f>
        <v>8.64</v>
      </c>
      <c r="N8" s="43" t="s">
        <v>186</v>
      </c>
      <c r="O8" s="129" t="s">
        <v>199</v>
      </c>
      <c r="X8" s="79"/>
      <c r="AB8" s="79"/>
      <c r="AC8" s="129"/>
      <c r="AD8" s="150"/>
      <c r="AE8" s="150"/>
      <c r="AF8" s="55"/>
      <c r="AG8" s="129"/>
    </row>
    <row r="9" spans="1:33">
      <c r="A9" s="113">
        <v>38470</v>
      </c>
      <c r="B9" s="61">
        <v>6981</v>
      </c>
      <c r="C9" s="61" t="s">
        <v>169</v>
      </c>
      <c r="D9" s="61">
        <v>4</v>
      </c>
      <c r="E9" s="61" t="s">
        <v>161</v>
      </c>
      <c r="F9" s="121">
        <f>F8</f>
        <v>25.963000000000001</v>
      </c>
      <c r="G9" s="122" t="s">
        <v>172</v>
      </c>
      <c r="H9" s="131">
        <v>0.73939999999999995</v>
      </c>
      <c r="I9" s="131">
        <v>0.72709999999999997</v>
      </c>
      <c r="J9" s="131">
        <v>0.72640000000000005</v>
      </c>
      <c r="K9" s="131">
        <v>0.73880000000000001</v>
      </c>
      <c r="L9" s="61" t="s">
        <v>164</v>
      </c>
      <c r="M9" s="112">
        <f>185000000000*1.6E-19*300000000</f>
        <v>8.879999999999999</v>
      </c>
      <c r="N9" s="61" t="s">
        <v>186</v>
      </c>
      <c r="U9" s="43">
        <v>4.0000000000000002E-4</v>
      </c>
      <c r="V9" s="43">
        <v>4.9000000000000004</v>
      </c>
      <c r="W9" s="43">
        <v>0.84</v>
      </c>
      <c r="X9" s="144">
        <v>6.5</v>
      </c>
      <c r="Y9" s="108">
        <v>6.0000000000000001E-3</v>
      </c>
      <c r="Z9" s="43">
        <v>2.8</v>
      </c>
      <c r="AA9" s="43">
        <v>0.85</v>
      </c>
      <c r="AB9" s="144"/>
      <c r="AC9" s="55"/>
      <c r="AD9" s="162">
        <f>H9</f>
        <v>0.73939999999999995</v>
      </c>
      <c r="AE9" s="162">
        <f>I9</f>
        <v>0.72709999999999997</v>
      </c>
      <c r="AF9" s="163">
        <f>V9</f>
        <v>4.9000000000000004</v>
      </c>
      <c r="AG9" s="55"/>
    </row>
    <row r="10" spans="1:33">
      <c r="A10" s="115">
        <v>38812</v>
      </c>
      <c r="B10" s="119">
        <v>7707</v>
      </c>
      <c r="C10" s="123" t="s">
        <v>169</v>
      </c>
      <c r="D10" s="119">
        <v>1</v>
      </c>
      <c r="E10" s="119" t="s">
        <v>161</v>
      </c>
      <c r="F10" s="124">
        <v>106.59699999999999</v>
      </c>
      <c r="G10" s="125" t="s">
        <v>173</v>
      </c>
      <c r="H10" s="132"/>
      <c r="I10" s="132"/>
      <c r="J10" s="132"/>
      <c r="K10" s="132"/>
      <c r="L10" s="123" t="s">
        <v>180</v>
      </c>
      <c r="M10" s="120">
        <f>140000000000*1.6E-19*300000000</f>
        <v>6.72</v>
      </c>
      <c r="N10" s="123" t="s">
        <v>185</v>
      </c>
      <c r="O10" t="s">
        <v>165</v>
      </c>
      <c r="U10" s="127"/>
      <c r="V10" s="127"/>
      <c r="W10" s="127"/>
      <c r="X10" s="141"/>
      <c r="Y10" s="127"/>
      <c r="Z10" s="127"/>
      <c r="AA10" s="127"/>
      <c r="AB10" s="141"/>
      <c r="AC10" s="100"/>
      <c r="AD10" s="152"/>
      <c r="AE10" s="152"/>
      <c r="AF10" s="153"/>
      <c r="AG10" s="100"/>
    </row>
    <row r="11" spans="1:33">
      <c r="A11" s="102">
        <v>38812</v>
      </c>
      <c r="B11" s="104">
        <v>7707</v>
      </c>
      <c r="C11" s="43" t="s">
        <v>169</v>
      </c>
      <c r="D11" s="104">
        <v>2</v>
      </c>
      <c r="E11" s="104" t="s">
        <v>161</v>
      </c>
      <c r="F11" s="108">
        <v>106.59699999999999</v>
      </c>
      <c r="G11" s="106" t="s">
        <v>173</v>
      </c>
      <c r="H11" s="131"/>
      <c r="I11" s="131"/>
      <c r="J11" s="131"/>
      <c r="K11" s="131"/>
      <c r="L11" s="43" t="s">
        <v>180</v>
      </c>
      <c r="M11" s="54">
        <f>140000000000*1.6E-19*300000000</f>
        <v>6.72</v>
      </c>
      <c r="N11" s="43" t="s">
        <v>186</v>
      </c>
      <c r="O11" t="s">
        <v>165</v>
      </c>
      <c r="X11" s="79"/>
      <c r="AB11" s="79"/>
      <c r="AC11" s="129"/>
      <c r="AD11" s="149"/>
      <c r="AE11" s="149"/>
      <c r="AF11" s="151"/>
      <c r="AG11" s="129"/>
    </row>
    <row r="12" spans="1:33">
      <c r="A12" s="102">
        <v>38819</v>
      </c>
      <c r="B12" s="104">
        <v>7747</v>
      </c>
      <c r="C12" s="43" t="s">
        <v>169</v>
      </c>
      <c r="D12" s="104">
        <v>1</v>
      </c>
      <c r="E12" s="104" t="s">
        <v>161</v>
      </c>
      <c r="F12" s="108">
        <v>106.59699999999999</v>
      </c>
      <c r="G12" s="106" t="s">
        <v>182</v>
      </c>
      <c r="H12" s="131"/>
      <c r="I12" s="131"/>
      <c r="J12" s="131"/>
      <c r="K12" s="131"/>
      <c r="L12" s="43" t="s">
        <v>180</v>
      </c>
      <c r="M12" s="54">
        <f>165000000000*1.6E-19*300000000</f>
        <v>7.919999999999999</v>
      </c>
      <c r="N12" s="43" t="s">
        <v>185</v>
      </c>
      <c r="O12" t="s">
        <v>165</v>
      </c>
      <c r="X12" s="79"/>
      <c r="AB12" s="79"/>
      <c r="AC12" s="129"/>
      <c r="AD12" s="149"/>
      <c r="AE12" s="149"/>
      <c r="AF12" s="151"/>
      <c r="AG12" s="129"/>
    </row>
    <row r="13" spans="1:33">
      <c r="A13" s="102">
        <v>38819</v>
      </c>
      <c r="B13" s="104">
        <v>7747</v>
      </c>
      <c r="C13" s="43" t="s">
        <v>169</v>
      </c>
      <c r="D13" s="104">
        <v>2</v>
      </c>
      <c r="E13" s="104" t="s">
        <v>161</v>
      </c>
      <c r="F13" s="108">
        <v>106.59699999999999</v>
      </c>
      <c r="G13" s="106" t="s">
        <v>182</v>
      </c>
      <c r="H13" s="131"/>
      <c r="I13" s="131"/>
      <c r="J13" s="131"/>
      <c r="K13" s="131"/>
      <c r="L13" s="43" t="s">
        <v>180</v>
      </c>
      <c r="M13" s="54">
        <f>145000000000*1.6E-19*300000000</f>
        <v>6.96</v>
      </c>
      <c r="N13" s="43" t="s">
        <v>186</v>
      </c>
      <c r="O13" t="s">
        <v>165</v>
      </c>
      <c r="X13" s="79"/>
      <c r="AB13" s="79"/>
      <c r="AC13" s="129"/>
      <c r="AD13" s="162">
        <f>J14</f>
        <v>0.70920000000000005</v>
      </c>
      <c r="AE13" s="162">
        <f>K14</f>
        <v>0.6966</v>
      </c>
      <c r="AF13" s="163">
        <f>Z14</f>
        <v>1.5</v>
      </c>
      <c r="AG13" s="129" t="s">
        <v>207</v>
      </c>
    </row>
    <row r="14" spans="1:33">
      <c r="A14" s="113">
        <v>38840</v>
      </c>
      <c r="B14" s="104">
        <v>7807</v>
      </c>
      <c r="C14" s="61" t="s">
        <v>169</v>
      </c>
      <c r="D14" s="61">
        <v>1</v>
      </c>
      <c r="E14" s="104" t="s">
        <v>161</v>
      </c>
      <c r="F14" s="121">
        <v>106.59699999999999</v>
      </c>
      <c r="G14" s="122" t="s">
        <v>174</v>
      </c>
      <c r="H14" s="133">
        <v>0.69120000000000004</v>
      </c>
      <c r="I14" s="133">
        <v>0.6966</v>
      </c>
      <c r="J14" s="133">
        <v>0.70920000000000005</v>
      </c>
      <c r="K14" s="133">
        <v>0.6966</v>
      </c>
      <c r="L14" s="61" t="s">
        <v>180</v>
      </c>
      <c r="M14" s="54">
        <f>170000000000*1.6E-19*300000000</f>
        <v>8.16</v>
      </c>
      <c r="N14" s="61" t="s">
        <v>186</v>
      </c>
      <c r="O14" t="s">
        <v>194</v>
      </c>
      <c r="U14" s="61">
        <v>1.24</v>
      </c>
      <c r="V14" s="61">
        <v>2.5</v>
      </c>
      <c r="W14" s="61">
        <v>0.83</v>
      </c>
      <c r="X14" s="144">
        <v>3.5</v>
      </c>
      <c r="Y14" s="61">
        <v>3.39</v>
      </c>
      <c r="Z14" s="61">
        <v>1.5</v>
      </c>
      <c r="AA14" s="61">
        <v>0.74</v>
      </c>
      <c r="AB14" s="144">
        <v>3.5</v>
      </c>
      <c r="AC14" s="104"/>
      <c r="AD14" s="162">
        <f>H14</f>
        <v>0.69120000000000004</v>
      </c>
      <c r="AE14" s="162">
        <f>I14</f>
        <v>0.6966</v>
      </c>
      <c r="AF14" s="163">
        <f>V14</f>
        <v>2.5</v>
      </c>
      <c r="AG14" s="104"/>
    </row>
    <row r="15" spans="1:33">
      <c r="A15" s="115">
        <v>39154</v>
      </c>
      <c r="B15" s="119">
        <v>8231</v>
      </c>
      <c r="C15" s="119" t="s">
        <v>170</v>
      </c>
      <c r="D15" s="119">
        <v>1</v>
      </c>
      <c r="E15" s="119" t="s">
        <v>167</v>
      </c>
      <c r="F15" s="117">
        <v>10.52</v>
      </c>
      <c r="G15" s="126">
        <v>6</v>
      </c>
      <c r="H15" s="134">
        <v>0.23269999999999999</v>
      </c>
      <c r="I15" s="134">
        <v>0.21410000000000001</v>
      </c>
      <c r="J15" s="134"/>
      <c r="K15" s="134"/>
      <c r="L15" s="119" t="s">
        <v>178</v>
      </c>
      <c r="M15" s="120">
        <v>12.5</v>
      </c>
      <c r="N15" s="119" t="s">
        <v>187</v>
      </c>
      <c r="P15" s="101"/>
      <c r="U15" s="138">
        <v>3.3000000000000003E-5</v>
      </c>
      <c r="V15" s="123">
        <v>7.2</v>
      </c>
      <c r="W15" s="123">
        <v>0.97</v>
      </c>
      <c r="X15" s="143">
        <v>6.5</v>
      </c>
      <c r="Y15" s="127"/>
      <c r="Z15" s="127"/>
      <c r="AA15" s="127"/>
      <c r="AB15" s="143"/>
      <c r="AC15" s="104"/>
      <c r="AD15" s="164">
        <f t="shared" ref="AD15:AD19" si="0">H15</f>
        <v>0.23269999999999999</v>
      </c>
      <c r="AE15" s="164">
        <f t="shared" ref="AE15:AE19" si="1">I15</f>
        <v>0.21410000000000001</v>
      </c>
      <c r="AF15" s="165">
        <f t="shared" ref="AF15:AF19" si="2">V15</f>
        <v>7.2</v>
      </c>
      <c r="AG15" s="104"/>
    </row>
    <row r="16" spans="1:33">
      <c r="A16" s="102">
        <v>39154</v>
      </c>
      <c r="B16" s="104">
        <v>8231</v>
      </c>
      <c r="C16" s="104" t="s">
        <v>170</v>
      </c>
      <c r="D16" s="104">
        <v>1</v>
      </c>
      <c r="E16" s="104" t="s">
        <v>167</v>
      </c>
      <c r="F16" s="109">
        <v>10.52</v>
      </c>
      <c r="G16" s="107" t="s">
        <v>175</v>
      </c>
      <c r="H16" s="135">
        <v>0.23219999999999999</v>
      </c>
      <c r="I16" s="135">
        <v>0.214</v>
      </c>
      <c r="J16" s="135"/>
      <c r="K16" s="135"/>
      <c r="L16" s="104" t="s">
        <v>178</v>
      </c>
      <c r="M16" s="112">
        <f>50*2.5</f>
        <v>125</v>
      </c>
      <c r="N16" s="104" t="s">
        <v>187</v>
      </c>
      <c r="U16" s="139">
        <v>7.8999999999999995E-7</v>
      </c>
      <c r="V16" s="128">
        <v>7.8</v>
      </c>
      <c r="W16" s="51">
        <v>0.96899999999999997</v>
      </c>
      <c r="X16" s="85">
        <v>9</v>
      </c>
      <c r="AB16" s="144"/>
      <c r="AC16" s="55"/>
      <c r="AD16" s="162">
        <f t="shared" si="0"/>
        <v>0.23219999999999999</v>
      </c>
      <c r="AE16" s="162">
        <f t="shared" si="1"/>
        <v>0.214</v>
      </c>
      <c r="AF16" s="163">
        <f t="shared" si="2"/>
        <v>7.8</v>
      </c>
      <c r="AG16" s="55"/>
    </row>
    <row r="17" spans="1:33">
      <c r="A17" s="102">
        <v>39168</v>
      </c>
      <c r="B17" s="104">
        <v>8405</v>
      </c>
      <c r="C17" s="104" t="s">
        <v>170</v>
      </c>
      <c r="D17" s="104">
        <v>1</v>
      </c>
      <c r="E17" s="104" t="s">
        <v>167</v>
      </c>
      <c r="F17" s="109">
        <v>107.369</v>
      </c>
      <c r="G17" s="107" t="s">
        <v>176</v>
      </c>
      <c r="H17" s="135">
        <v>0.22600000000000001</v>
      </c>
      <c r="I17" s="135">
        <v>0.22700000000000001</v>
      </c>
      <c r="J17" s="135"/>
      <c r="K17" s="135"/>
      <c r="L17" s="104" t="s">
        <v>178</v>
      </c>
      <c r="M17" s="112">
        <f>50*2.5</f>
        <v>125</v>
      </c>
      <c r="N17" s="104" t="s">
        <v>187</v>
      </c>
      <c r="O17" t="s">
        <v>189</v>
      </c>
      <c r="P17" s="100"/>
      <c r="U17" s="139">
        <v>2.7E-2</v>
      </c>
      <c r="V17" s="47">
        <v>1.71</v>
      </c>
      <c r="W17" s="128">
        <v>0.79</v>
      </c>
      <c r="X17" s="85">
        <v>15</v>
      </c>
      <c r="AB17" s="85"/>
      <c r="AC17" s="54"/>
      <c r="AD17" s="162">
        <f t="shared" si="0"/>
        <v>0.22600000000000001</v>
      </c>
      <c r="AE17" s="162">
        <f t="shared" si="1"/>
        <v>0.22700000000000001</v>
      </c>
      <c r="AF17" s="163">
        <f t="shared" si="2"/>
        <v>1.71</v>
      </c>
      <c r="AG17" s="54"/>
    </row>
    <row r="18" spans="1:33">
      <c r="A18" s="102">
        <v>39197</v>
      </c>
      <c r="B18" s="104">
        <v>8609</v>
      </c>
      <c r="C18" s="104" t="s">
        <v>170</v>
      </c>
      <c r="D18" s="43">
        <v>1</v>
      </c>
      <c r="E18" s="104" t="s">
        <v>167</v>
      </c>
      <c r="F18" s="109">
        <v>107.369</v>
      </c>
      <c r="G18" s="107" t="s">
        <v>177</v>
      </c>
      <c r="H18" s="135">
        <v>0.23400000000000001</v>
      </c>
      <c r="I18" s="135">
        <v>0.22600000000000001</v>
      </c>
      <c r="J18" s="135"/>
      <c r="K18" s="135"/>
      <c r="L18" s="104" t="s">
        <v>178</v>
      </c>
      <c r="M18" s="112">
        <f>5*2.5</f>
        <v>12.5</v>
      </c>
      <c r="N18" s="104" t="s">
        <v>187</v>
      </c>
      <c r="P18" s="100"/>
      <c r="U18" s="139">
        <v>7.7999999999999999E-6</v>
      </c>
      <c r="V18" s="47">
        <v>7.4</v>
      </c>
      <c r="W18" s="130">
        <v>0.83</v>
      </c>
      <c r="X18" s="85">
        <v>6</v>
      </c>
      <c r="AB18" s="85"/>
      <c r="AC18" s="54"/>
      <c r="AD18" s="162">
        <f t="shared" si="0"/>
        <v>0.23400000000000001</v>
      </c>
      <c r="AE18" s="162">
        <f t="shared" si="1"/>
        <v>0.22600000000000001</v>
      </c>
      <c r="AF18" s="163">
        <f t="shared" si="2"/>
        <v>7.4</v>
      </c>
      <c r="AG18" s="54"/>
    </row>
    <row r="19" spans="1:33">
      <c r="A19" s="102">
        <v>39197</v>
      </c>
      <c r="B19" s="104">
        <v>8609</v>
      </c>
      <c r="C19" s="104" t="s">
        <v>170</v>
      </c>
      <c r="D19" s="43">
        <v>2</v>
      </c>
      <c r="E19" s="104" t="s">
        <v>167</v>
      </c>
      <c r="F19" s="109">
        <v>107.369</v>
      </c>
      <c r="G19" s="107" t="s">
        <v>177</v>
      </c>
      <c r="H19" s="135">
        <f>H18</f>
        <v>0.23400000000000001</v>
      </c>
      <c r="I19" s="135">
        <f>I18</f>
        <v>0.22600000000000001</v>
      </c>
      <c r="J19" s="135"/>
      <c r="K19" s="135"/>
      <c r="L19" s="104" t="s">
        <v>178</v>
      </c>
      <c r="M19" s="112">
        <f>50*2.5</f>
        <v>125</v>
      </c>
      <c r="N19" s="104" t="s">
        <v>187</v>
      </c>
      <c r="P19" s="100"/>
      <c r="U19" s="139">
        <v>4.5E-13</v>
      </c>
      <c r="V19" s="47">
        <v>16</v>
      </c>
      <c r="W19" s="130">
        <v>0.88</v>
      </c>
      <c r="X19" s="85">
        <v>5.5</v>
      </c>
      <c r="AB19" s="85"/>
      <c r="AC19" s="54"/>
      <c r="AD19" s="162">
        <f t="shared" si="0"/>
        <v>0.23400000000000001</v>
      </c>
      <c r="AE19" s="162">
        <f t="shared" si="1"/>
        <v>0.22600000000000001</v>
      </c>
      <c r="AF19" s="163">
        <f t="shared" si="2"/>
        <v>16</v>
      </c>
      <c r="AG19" s="54"/>
    </row>
    <row r="20" spans="1:33">
      <c r="A20" s="102">
        <v>39197</v>
      </c>
      <c r="B20" s="104">
        <v>8609</v>
      </c>
      <c r="C20" s="43" t="s">
        <v>181</v>
      </c>
      <c r="D20" s="104">
        <v>1</v>
      </c>
      <c r="E20" s="104" t="s">
        <v>167</v>
      </c>
      <c r="F20" s="109">
        <v>107.369</v>
      </c>
      <c r="G20" s="107" t="s">
        <v>177</v>
      </c>
      <c r="H20" s="135"/>
      <c r="I20" s="135"/>
      <c r="J20" s="135">
        <v>0.22800000000000001</v>
      </c>
      <c r="K20" s="135">
        <v>0.23499999999999999</v>
      </c>
      <c r="L20" s="104" t="s">
        <v>179</v>
      </c>
      <c r="M20" s="112">
        <f>5*2.5</f>
        <v>12.5</v>
      </c>
      <c r="N20" s="104" t="s">
        <v>188</v>
      </c>
      <c r="P20" s="100"/>
      <c r="U20" s="139"/>
      <c r="V20" s="47"/>
      <c r="W20" s="130"/>
      <c r="X20" s="85"/>
      <c r="Y20" s="145">
        <v>5.2999999999999998E-4</v>
      </c>
      <c r="Z20" s="54">
        <v>4.8</v>
      </c>
      <c r="AA20" s="86">
        <v>0.7</v>
      </c>
      <c r="AB20" s="85">
        <v>9</v>
      </c>
      <c r="AC20" s="54"/>
      <c r="AD20" s="162">
        <f>J20</f>
        <v>0.22800000000000001</v>
      </c>
      <c r="AE20" s="162">
        <f>K20</f>
        <v>0.23499999999999999</v>
      </c>
      <c r="AF20" s="163">
        <f>Z20</f>
        <v>4.8</v>
      </c>
      <c r="AG20" s="54"/>
    </row>
    <row r="21" spans="1:33">
      <c r="A21" s="102">
        <v>39196</v>
      </c>
      <c r="B21" s="104">
        <v>8609</v>
      </c>
      <c r="C21" s="43" t="s">
        <v>181</v>
      </c>
      <c r="D21" s="43">
        <v>2</v>
      </c>
      <c r="E21" s="104" t="s">
        <v>167</v>
      </c>
      <c r="F21" s="109">
        <v>107.369</v>
      </c>
      <c r="G21" s="107" t="s">
        <v>177</v>
      </c>
      <c r="H21" s="135"/>
      <c r="I21" s="135"/>
      <c r="J21" s="135">
        <f>J20</f>
        <v>0.22800000000000001</v>
      </c>
      <c r="K21" s="135">
        <f>K20</f>
        <v>0.23499999999999999</v>
      </c>
      <c r="L21" s="104" t="s">
        <v>179</v>
      </c>
      <c r="M21" s="112">
        <f>50*2.5</f>
        <v>125</v>
      </c>
      <c r="N21" s="104" t="s">
        <v>188</v>
      </c>
      <c r="P21" s="100"/>
      <c r="U21" s="139"/>
      <c r="V21" s="47"/>
      <c r="W21" s="130"/>
      <c r="X21" s="85"/>
      <c r="Y21" s="145">
        <v>6.4900000000000001E-3</v>
      </c>
      <c r="Z21" s="54">
        <v>4.0999999999999996</v>
      </c>
      <c r="AA21" s="55">
        <v>0.84</v>
      </c>
      <c r="AB21" s="85">
        <v>7.5</v>
      </c>
      <c r="AC21" s="54"/>
      <c r="AD21" s="162">
        <f>J21</f>
        <v>0.22800000000000001</v>
      </c>
      <c r="AE21" s="162">
        <f>K21</f>
        <v>0.23499999999999999</v>
      </c>
      <c r="AF21" s="163">
        <f>Z21</f>
        <v>4.0999999999999996</v>
      </c>
      <c r="AG21" s="54"/>
    </row>
    <row r="22" spans="1:33">
      <c r="A22" s="102">
        <v>39211</v>
      </c>
      <c r="B22" s="104">
        <v>8727</v>
      </c>
      <c r="C22" s="104" t="s">
        <v>170</v>
      </c>
      <c r="D22" s="43">
        <v>1</v>
      </c>
      <c r="E22" s="104" t="s">
        <v>167</v>
      </c>
      <c r="F22" s="109">
        <v>107.369</v>
      </c>
      <c r="G22" s="107" t="s">
        <v>177</v>
      </c>
      <c r="H22" s="135">
        <v>0.22</v>
      </c>
      <c r="I22" s="135">
        <v>0.23200000000000001</v>
      </c>
      <c r="J22" s="135"/>
      <c r="K22" s="135"/>
      <c r="L22" s="104" t="s">
        <v>178</v>
      </c>
      <c r="M22" s="112">
        <f>5*2.5</f>
        <v>12.5</v>
      </c>
      <c r="N22" s="104" t="s">
        <v>187</v>
      </c>
      <c r="P22" s="100"/>
      <c r="U22" s="145">
        <v>1.7000000000000001E-4</v>
      </c>
      <c r="V22" s="54">
        <v>5.2</v>
      </c>
      <c r="W22" s="55">
        <v>0.95</v>
      </c>
      <c r="X22" s="85">
        <v>9.5</v>
      </c>
      <c r="AB22" s="85"/>
      <c r="AC22" s="54"/>
      <c r="AD22" s="162">
        <f t="shared" ref="AD22:AD23" si="3">H22</f>
        <v>0.22</v>
      </c>
      <c r="AE22" s="162">
        <f t="shared" ref="AE22:AE23" si="4">I22</f>
        <v>0.23200000000000001</v>
      </c>
      <c r="AF22" s="163">
        <f t="shared" ref="AF22:AF23" si="5">V22</f>
        <v>5.2</v>
      </c>
      <c r="AG22" s="54"/>
    </row>
    <row r="23" spans="1:33">
      <c r="A23" s="102">
        <v>39211</v>
      </c>
      <c r="B23" s="104">
        <v>8727</v>
      </c>
      <c r="C23" s="104" t="s">
        <v>170</v>
      </c>
      <c r="D23" s="104">
        <v>2</v>
      </c>
      <c r="E23" s="104" t="s">
        <v>167</v>
      </c>
      <c r="F23" s="109">
        <v>107.369</v>
      </c>
      <c r="G23" s="107" t="s">
        <v>177</v>
      </c>
      <c r="H23" s="135">
        <f>H22</f>
        <v>0.22</v>
      </c>
      <c r="I23" s="135">
        <f>I22</f>
        <v>0.23200000000000001</v>
      </c>
      <c r="J23" s="135"/>
      <c r="K23" s="135"/>
      <c r="L23" s="104" t="s">
        <v>178</v>
      </c>
      <c r="M23" s="112">
        <f>50*2.5</f>
        <v>125</v>
      </c>
      <c r="N23" s="104" t="s">
        <v>187</v>
      </c>
      <c r="P23" s="100"/>
      <c r="U23" s="145">
        <v>1.5699999999999999E-7</v>
      </c>
      <c r="V23" s="54">
        <v>8.1</v>
      </c>
      <c r="W23" s="55">
        <v>0.97</v>
      </c>
      <c r="X23" s="85">
        <v>10</v>
      </c>
      <c r="AB23" s="85"/>
      <c r="AC23" s="54"/>
      <c r="AD23" s="162">
        <f t="shared" si="3"/>
        <v>0.22</v>
      </c>
      <c r="AE23" s="162">
        <f t="shared" si="4"/>
        <v>0.23200000000000001</v>
      </c>
      <c r="AF23" s="163">
        <f t="shared" si="5"/>
        <v>8.1</v>
      </c>
      <c r="AG23" s="54"/>
    </row>
    <row r="24" spans="1:33">
      <c r="A24" s="102">
        <v>39211</v>
      </c>
      <c r="B24" s="104">
        <v>8727</v>
      </c>
      <c r="C24" s="104" t="s">
        <v>181</v>
      </c>
      <c r="D24" s="43">
        <v>1</v>
      </c>
      <c r="E24" s="104" t="s">
        <v>167</v>
      </c>
      <c r="F24" s="109">
        <v>107.369</v>
      </c>
      <c r="G24" s="107" t="s">
        <v>177</v>
      </c>
      <c r="H24" s="135"/>
      <c r="I24" s="135"/>
      <c r="J24" s="135">
        <v>0.23200000000000001</v>
      </c>
      <c r="K24" s="135">
        <v>0.22800000000000001</v>
      </c>
      <c r="L24" s="104" t="s">
        <v>179</v>
      </c>
      <c r="M24" s="112">
        <f>5*2.5</f>
        <v>12.5</v>
      </c>
      <c r="N24" s="104" t="s">
        <v>188</v>
      </c>
      <c r="P24" s="100"/>
      <c r="U24" s="139"/>
      <c r="V24" s="47"/>
      <c r="W24" s="130"/>
      <c r="X24" s="85"/>
      <c r="Y24" s="145">
        <v>1.1999999999999999E-3</v>
      </c>
      <c r="Z24" s="54">
        <v>6.3</v>
      </c>
      <c r="AA24" s="55">
        <v>0.7</v>
      </c>
      <c r="AB24" s="85">
        <v>4.5</v>
      </c>
      <c r="AC24" s="54"/>
      <c r="AD24" s="162">
        <f>J24</f>
        <v>0.23200000000000001</v>
      </c>
      <c r="AE24" s="162">
        <f>K24</f>
        <v>0.22800000000000001</v>
      </c>
      <c r="AF24" s="163">
        <f>Z24</f>
        <v>6.3</v>
      </c>
      <c r="AG24" s="54"/>
    </row>
    <row r="25" spans="1:33">
      <c r="A25" s="113">
        <v>39211</v>
      </c>
      <c r="B25" s="104">
        <v>8727</v>
      </c>
      <c r="C25" s="104" t="s">
        <v>181</v>
      </c>
      <c r="D25" s="114">
        <v>2</v>
      </c>
      <c r="E25" s="104" t="s">
        <v>167</v>
      </c>
      <c r="F25" s="109">
        <v>107.369</v>
      </c>
      <c r="G25" s="107" t="s">
        <v>177</v>
      </c>
      <c r="H25" s="135"/>
      <c r="I25" s="135"/>
      <c r="J25" s="135">
        <f t="shared" ref="J25:K28" si="6">J24</f>
        <v>0.23200000000000001</v>
      </c>
      <c r="K25" s="135">
        <f t="shared" si="6"/>
        <v>0.22800000000000001</v>
      </c>
      <c r="L25" s="104" t="s">
        <v>179</v>
      </c>
      <c r="M25" s="112">
        <f>50*2.5</f>
        <v>125</v>
      </c>
      <c r="N25" s="104" t="s">
        <v>188</v>
      </c>
      <c r="P25" s="100"/>
      <c r="U25" s="139"/>
      <c r="V25" s="47"/>
      <c r="W25" s="130"/>
      <c r="X25" s="85"/>
      <c r="Y25" s="145">
        <v>1.79E-6</v>
      </c>
      <c r="Z25" s="54">
        <v>10.8</v>
      </c>
      <c r="AA25" s="55">
        <v>0.88</v>
      </c>
      <c r="AB25" s="85">
        <v>5</v>
      </c>
      <c r="AC25" s="54"/>
      <c r="AD25" s="162">
        <f>J25</f>
        <v>0.23200000000000001</v>
      </c>
      <c r="AE25" s="162">
        <f>K25</f>
        <v>0.22800000000000001</v>
      </c>
      <c r="AF25" s="163">
        <f>Z25</f>
        <v>10.8</v>
      </c>
      <c r="AG25" s="54"/>
    </row>
    <row r="26" spans="1:33">
      <c r="A26" s="113">
        <v>39211</v>
      </c>
      <c r="B26" s="104">
        <v>8727</v>
      </c>
      <c r="C26" s="104" t="s">
        <v>181</v>
      </c>
      <c r="D26" s="114">
        <v>3</v>
      </c>
      <c r="E26" s="104" t="s">
        <v>167</v>
      </c>
      <c r="F26" s="109">
        <v>107.369</v>
      </c>
      <c r="G26" s="107" t="s">
        <v>177</v>
      </c>
      <c r="H26" s="135"/>
      <c r="I26" s="135"/>
      <c r="J26" s="135">
        <f t="shared" si="6"/>
        <v>0.23200000000000001</v>
      </c>
      <c r="K26" s="135">
        <f t="shared" si="6"/>
        <v>0.22800000000000001</v>
      </c>
      <c r="L26" s="104" t="s">
        <v>179</v>
      </c>
      <c r="M26" s="112" t="s">
        <v>190</v>
      </c>
      <c r="N26" s="104">
        <v>-29</v>
      </c>
      <c r="P26" s="100"/>
      <c r="X26" s="79"/>
      <c r="AB26" s="79"/>
      <c r="AC26" s="129"/>
      <c r="AD26" s="149"/>
      <c r="AE26" s="149"/>
      <c r="AF26" s="151"/>
      <c r="AG26" s="129"/>
    </row>
    <row r="27" spans="1:33">
      <c r="A27" s="113">
        <v>39211</v>
      </c>
      <c r="B27" s="104">
        <v>8727</v>
      </c>
      <c r="C27" s="104" t="s">
        <v>181</v>
      </c>
      <c r="D27" s="114">
        <v>4</v>
      </c>
      <c r="E27" s="104" t="s">
        <v>167</v>
      </c>
      <c r="F27" s="109">
        <v>107.369</v>
      </c>
      <c r="G27" s="107" t="s">
        <v>177</v>
      </c>
      <c r="H27" s="135"/>
      <c r="I27" s="135"/>
      <c r="J27" s="135">
        <f t="shared" si="6"/>
        <v>0.23200000000000001</v>
      </c>
      <c r="K27" s="135">
        <f t="shared" si="6"/>
        <v>0.22800000000000001</v>
      </c>
      <c r="L27" s="104" t="s">
        <v>179</v>
      </c>
      <c r="M27" s="112">
        <v>125</v>
      </c>
      <c r="N27" s="104">
        <v>-29</v>
      </c>
      <c r="O27" t="s">
        <v>192</v>
      </c>
      <c r="P27" s="100"/>
      <c r="X27" s="79"/>
      <c r="AB27" s="79"/>
      <c r="AC27" s="129"/>
      <c r="AD27" s="149"/>
      <c r="AE27" s="149"/>
      <c r="AF27" s="151"/>
      <c r="AG27" s="129"/>
    </row>
    <row r="28" spans="1:33">
      <c r="A28" s="113">
        <v>39211</v>
      </c>
      <c r="B28" s="104">
        <v>8727</v>
      </c>
      <c r="C28" s="104" t="s">
        <v>181</v>
      </c>
      <c r="D28" s="114">
        <v>5</v>
      </c>
      <c r="E28" s="104" t="s">
        <v>167</v>
      </c>
      <c r="F28" s="109">
        <v>107.369</v>
      </c>
      <c r="G28" s="107" t="s">
        <v>177</v>
      </c>
      <c r="H28" s="135"/>
      <c r="I28" s="135"/>
      <c r="J28" s="135">
        <f t="shared" si="6"/>
        <v>0.23200000000000001</v>
      </c>
      <c r="K28" s="135">
        <f t="shared" si="6"/>
        <v>0.22800000000000001</v>
      </c>
      <c r="L28" s="104" t="s">
        <v>179</v>
      </c>
      <c r="M28" s="112" t="s">
        <v>190</v>
      </c>
      <c r="N28" s="104">
        <v>-29</v>
      </c>
      <c r="O28" t="s">
        <v>193</v>
      </c>
      <c r="P28" s="100"/>
      <c r="X28" s="79"/>
      <c r="AB28" s="79"/>
      <c r="AC28" s="129"/>
      <c r="AD28" s="149"/>
      <c r="AE28" s="149"/>
      <c r="AF28" s="151"/>
      <c r="AG28" s="129"/>
    </row>
    <row r="29" spans="1:33">
      <c r="A29" s="115">
        <v>39475</v>
      </c>
      <c r="B29" s="116">
        <v>9664</v>
      </c>
      <c r="C29" s="116" t="s">
        <v>170</v>
      </c>
      <c r="D29" s="116">
        <v>1</v>
      </c>
      <c r="E29" s="116" t="s">
        <v>94</v>
      </c>
      <c r="F29" s="117">
        <v>107.369</v>
      </c>
      <c r="G29" s="118">
        <v>12</v>
      </c>
      <c r="H29" s="136">
        <v>0.2288</v>
      </c>
      <c r="I29" s="136">
        <v>0.2248</v>
      </c>
      <c r="J29" s="136"/>
      <c r="K29" s="136"/>
      <c r="L29" s="119" t="s">
        <v>178</v>
      </c>
      <c r="M29" s="120">
        <f>50*2.5</f>
        <v>125</v>
      </c>
      <c r="N29" s="119" t="s">
        <v>187</v>
      </c>
      <c r="U29" s="140">
        <v>3.5E-4</v>
      </c>
      <c r="V29" s="123">
        <v>3.8</v>
      </c>
      <c r="W29" s="123">
        <v>0.84</v>
      </c>
      <c r="X29" s="147">
        <v>17</v>
      </c>
      <c r="Y29" s="127"/>
      <c r="Z29" s="127"/>
      <c r="AA29" s="127"/>
      <c r="AB29" s="143"/>
      <c r="AC29" s="104"/>
      <c r="AD29" s="164">
        <f t="shared" ref="AD29" si="7">H29</f>
        <v>0.2288</v>
      </c>
      <c r="AE29" s="164">
        <f t="shared" ref="AE29" si="8">I29</f>
        <v>0.2248</v>
      </c>
      <c r="AF29" s="165">
        <f t="shared" ref="AF29" si="9">V29</f>
        <v>3.8</v>
      </c>
      <c r="AG29" s="104"/>
    </row>
    <row r="30" spans="1:33">
      <c r="A30" s="103">
        <v>39475</v>
      </c>
      <c r="B30" s="105">
        <v>9664</v>
      </c>
      <c r="C30" s="105" t="s">
        <v>170</v>
      </c>
      <c r="D30" s="105">
        <v>2</v>
      </c>
      <c r="E30" s="105" t="s">
        <v>94</v>
      </c>
      <c r="F30" s="110">
        <v>107.369</v>
      </c>
      <c r="G30" s="111">
        <v>12</v>
      </c>
      <c r="H30" s="137">
        <f>H29</f>
        <v>0.2288</v>
      </c>
      <c r="I30" s="137">
        <f>I29</f>
        <v>0.2248</v>
      </c>
      <c r="J30" s="137"/>
      <c r="K30" s="137"/>
      <c r="L30" s="67" t="s">
        <v>178</v>
      </c>
      <c r="M30" s="67" t="s">
        <v>191</v>
      </c>
      <c r="N30" s="67">
        <v>26</v>
      </c>
      <c r="X30" s="142"/>
      <c r="AB30" s="142"/>
      <c r="AC30" s="129"/>
      <c r="AD30" s="149"/>
      <c r="AE30" s="149"/>
      <c r="AF30" s="129"/>
      <c r="AG30" s="129"/>
    </row>
    <row r="31" spans="1:33">
      <c r="F31" s="5"/>
      <c r="G31" s="5"/>
      <c r="H31" s="5"/>
      <c r="I31" s="5"/>
      <c r="J31" s="5"/>
      <c r="K31" s="5"/>
      <c r="U31" s="127"/>
      <c r="V31" s="127"/>
      <c r="W31" s="127"/>
      <c r="X31" s="127"/>
      <c r="Y31" s="127"/>
      <c r="Z31" s="127"/>
      <c r="AA31" s="127"/>
      <c r="AB31" s="127"/>
      <c r="AC31" s="100"/>
      <c r="AD31" s="154"/>
      <c r="AE31" s="154"/>
      <c r="AF31" s="154"/>
      <c r="AG31" s="100"/>
    </row>
    <row r="32" spans="1:33">
      <c r="G32" s="5"/>
      <c r="H32" s="5"/>
      <c r="I32" s="5"/>
      <c r="J32" s="5"/>
      <c r="K32" s="5"/>
      <c r="AC32" s="129"/>
      <c r="AD32" s="129"/>
      <c r="AE32" s="129"/>
      <c r="AF32" s="129"/>
      <c r="AG32" s="129"/>
    </row>
    <row r="33" spans="1:33">
      <c r="G33" s="5"/>
      <c r="H33" s="5"/>
      <c r="I33" s="5"/>
      <c r="J33" s="5"/>
      <c r="K33" s="5"/>
      <c r="AC33" s="129"/>
      <c r="AD33" s="129"/>
      <c r="AE33" s="129"/>
      <c r="AF33" s="129"/>
      <c r="AG33" s="129"/>
    </row>
    <row r="34" spans="1:33">
      <c r="AC34" s="129"/>
      <c r="AD34" s="129"/>
      <c r="AE34" s="129"/>
      <c r="AF34" s="129"/>
      <c r="AG34" s="129"/>
    </row>
    <row r="35" spans="1:33">
      <c r="AC35" s="129"/>
      <c r="AD35" s="129"/>
      <c r="AE35" s="129"/>
      <c r="AF35" s="129"/>
      <c r="AG35" s="129"/>
    </row>
    <row r="36" spans="1:33">
      <c r="AC36" s="129"/>
      <c r="AD36" s="129"/>
      <c r="AE36" s="129"/>
      <c r="AF36" s="129"/>
      <c r="AG36" s="129"/>
    </row>
    <row r="37" spans="1:33">
      <c r="A37" s="37" t="s">
        <v>166</v>
      </c>
      <c r="B37" s="5"/>
      <c r="C37" s="5"/>
      <c r="D37" s="5"/>
      <c r="E37" s="5"/>
      <c r="AC37" s="129"/>
      <c r="AD37" s="129"/>
      <c r="AE37" s="129"/>
      <c r="AF37" s="129"/>
      <c r="AG37" s="129"/>
    </row>
    <row r="38" spans="1:33">
      <c r="A38" s="99">
        <v>38361</v>
      </c>
      <c r="B38" s="35">
        <v>0.60763888888888895</v>
      </c>
      <c r="C38" s="5" t="s">
        <v>33</v>
      </c>
      <c r="D38" s="5" t="s">
        <v>34</v>
      </c>
      <c r="E38" s="5"/>
    </row>
    <row r="39" spans="1:33">
      <c r="A39" s="99">
        <v>38805</v>
      </c>
      <c r="B39" s="35">
        <v>0.84652777777777777</v>
      </c>
      <c r="C39" s="36" t="s">
        <v>33</v>
      </c>
      <c r="D39" s="36" t="s">
        <v>34</v>
      </c>
      <c r="E39" s="36" t="s">
        <v>152</v>
      </c>
    </row>
  </sheetData>
  <mergeCells count="4">
    <mergeCell ref="U4:W4"/>
    <mergeCell ref="Y4:AA4"/>
    <mergeCell ref="H3:I3"/>
    <mergeCell ref="J3:K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Phase advances</vt:lpstr>
      <vt:lpstr>Wire design</vt:lpstr>
      <vt:lpstr>IP positions</vt:lpstr>
      <vt:lpstr>Summary of LR measurements</vt:lpstr>
    </vt:vector>
  </TitlesOfParts>
  <Company>Brookhaven National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Daniels</dc:creator>
  <cp:lastModifiedBy>Fischer, Wolfram</cp:lastModifiedBy>
  <cp:lastPrinted>2003-04-24T22:34:34Z</cp:lastPrinted>
  <dcterms:created xsi:type="dcterms:W3CDTF">2000-03-29T15:53:50Z</dcterms:created>
  <dcterms:modified xsi:type="dcterms:W3CDTF">2008-09-13T19:54:55Z</dcterms:modified>
</cp:coreProperties>
</file>